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&amp;D PC\Dropbox\Share Folder\NIKOUI\اثرات تغییر دما بر فشار قابل تحمل لوله ها\فایل های پیوست\ضمیمه 2\Working Pressure for Carbon Steel A106\"/>
    </mc:Choice>
  </mc:AlternateContent>
  <xr:revisionPtr revIDLastSave="0" documentId="13_ncr:1_{7C214368-2ED8-42E5-82C5-0F58D506D1B8}" xr6:coauthVersionLast="47" xr6:coauthVersionMax="47" xr10:uidLastSave="{00000000-0000-0000-0000-000000000000}"/>
  <bookViews>
    <workbookView xWindow="-120" yWindow="-120" windowWidth="29040" windowHeight="15840" xr2:uid="{C9D10E15-715F-43A6-9B39-22636B6B052B}"/>
  </bookViews>
  <sheets>
    <sheet name="A10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" l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11" i="1"/>
  <c r="I12" i="1"/>
  <c r="I13" i="1"/>
  <c r="I14" i="1"/>
  <c r="I15" i="1"/>
  <c r="I16" i="1"/>
  <c r="I17" i="1"/>
  <c r="I18" i="1"/>
  <c r="I19" i="1"/>
  <c r="I20" i="1"/>
  <c r="I21" i="1"/>
  <c r="I22" i="1"/>
  <c r="I10" i="1"/>
  <c r="I9" i="1"/>
  <c r="I8" i="1"/>
  <c r="I7" i="1"/>
  <c r="I6" i="1"/>
  <c r="I5" i="1"/>
  <c r="AA306" i="1"/>
  <c r="Y306" i="1"/>
  <c r="W306" i="1"/>
  <c r="U306" i="1"/>
  <c r="S306" i="1"/>
  <c r="Q306" i="1"/>
  <c r="O306" i="1"/>
  <c r="M306" i="1"/>
  <c r="K306" i="1"/>
  <c r="I306" i="1"/>
  <c r="AA300" i="1"/>
  <c r="Y300" i="1"/>
  <c r="W300" i="1"/>
  <c r="U300" i="1"/>
  <c r="S300" i="1"/>
  <c r="Q300" i="1"/>
  <c r="O300" i="1"/>
  <c r="M300" i="1"/>
  <c r="K300" i="1"/>
  <c r="I300" i="1"/>
  <c r="AA294" i="1"/>
  <c r="Y294" i="1"/>
  <c r="W294" i="1"/>
  <c r="U294" i="1"/>
  <c r="S294" i="1"/>
  <c r="Q294" i="1"/>
  <c r="O294" i="1"/>
  <c r="M294" i="1"/>
  <c r="K294" i="1"/>
  <c r="I294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AA274" i="1"/>
  <c r="AA273" i="1"/>
  <c r="AA271" i="1"/>
  <c r="AA270" i="1"/>
  <c r="AA269" i="1"/>
  <c r="AA268" i="1"/>
  <c r="AA267" i="1"/>
  <c r="AA265" i="1"/>
  <c r="AA264" i="1"/>
  <c r="AA263" i="1"/>
  <c r="AA262" i="1"/>
  <c r="AA261" i="1"/>
  <c r="AA259" i="1"/>
  <c r="AA258" i="1"/>
  <c r="AA257" i="1"/>
  <c r="Y274" i="1"/>
  <c r="Y273" i="1"/>
  <c r="Y271" i="1"/>
  <c r="Y270" i="1"/>
  <c r="Y269" i="1"/>
  <c r="Y268" i="1"/>
  <c r="Y267" i="1"/>
  <c r="Y265" i="1"/>
  <c r="Y264" i="1"/>
  <c r="Y263" i="1"/>
  <c r="Y262" i="1"/>
  <c r="Y261" i="1"/>
  <c r="Y259" i="1"/>
  <c r="Y258" i="1"/>
  <c r="Y257" i="1"/>
  <c r="W274" i="1"/>
  <c r="W273" i="1"/>
  <c r="W271" i="1"/>
  <c r="W270" i="1"/>
  <c r="W269" i="1"/>
  <c r="W268" i="1"/>
  <c r="W267" i="1"/>
  <c r="W265" i="1"/>
  <c r="W264" i="1"/>
  <c r="W263" i="1"/>
  <c r="W262" i="1"/>
  <c r="W261" i="1"/>
  <c r="W259" i="1"/>
  <c r="W258" i="1"/>
  <c r="W257" i="1"/>
  <c r="U274" i="1"/>
  <c r="U273" i="1"/>
  <c r="U271" i="1"/>
  <c r="U270" i="1"/>
  <c r="U269" i="1"/>
  <c r="U268" i="1"/>
  <c r="U267" i="1"/>
  <c r="U265" i="1"/>
  <c r="U264" i="1"/>
  <c r="U263" i="1"/>
  <c r="U262" i="1"/>
  <c r="U261" i="1"/>
  <c r="U259" i="1"/>
  <c r="U258" i="1"/>
  <c r="U257" i="1"/>
  <c r="S274" i="1"/>
  <c r="S273" i="1"/>
  <c r="S271" i="1"/>
  <c r="S270" i="1"/>
  <c r="S269" i="1"/>
  <c r="S268" i="1"/>
  <c r="S267" i="1"/>
  <c r="S265" i="1"/>
  <c r="S264" i="1"/>
  <c r="S263" i="1"/>
  <c r="S262" i="1"/>
  <c r="S261" i="1"/>
  <c r="S259" i="1"/>
  <c r="S258" i="1"/>
  <c r="S257" i="1"/>
  <c r="Q274" i="1"/>
  <c r="Q273" i="1"/>
  <c r="Q271" i="1"/>
  <c r="Q270" i="1"/>
  <c r="Q269" i="1"/>
  <c r="Q268" i="1"/>
  <c r="Q267" i="1"/>
  <c r="Q265" i="1"/>
  <c r="Q264" i="1"/>
  <c r="Q263" i="1"/>
  <c r="Q262" i="1"/>
  <c r="Q261" i="1"/>
  <c r="Q259" i="1"/>
  <c r="Q258" i="1"/>
  <c r="Q257" i="1"/>
  <c r="O274" i="1"/>
  <c r="O273" i="1"/>
  <c r="O271" i="1"/>
  <c r="O270" i="1"/>
  <c r="O269" i="1"/>
  <c r="O268" i="1"/>
  <c r="O267" i="1"/>
  <c r="O265" i="1"/>
  <c r="O264" i="1"/>
  <c r="O263" i="1"/>
  <c r="O262" i="1"/>
  <c r="O261" i="1"/>
  <c r="O259" i="1"/>
  <c r="O258" i="1"/>
  <c r="O257" i="1"/>
  <c r="M274" i="1"/>
  <c r="M273" i="1"/>
  <c r="M271" i="1"/>
  <c r="M270" i="1"/>
  <c r="M269" i="1"/>
  <c r="M268" i="1"/>
  <c r="M267" i="1"/>
  <c r="M265" i="1"/>
  <c r="M264" i="1"/>
  <c r="M263" i="1"/>
  <c r="M262" i="1"/>
  <c r="M261" i="1"/>
  <c r="M259" i="1"/>
  <c r="M258" i="1"/>
  <c r="M257" i="1"/>
  <c r="K274" i="1"/>
  <c r="K273" i="1"/>
  <c r="K271" i="1"/>
  <c r="K270" i="1"/>
  <c r="K269" i="1"/>
  <c r="K268" i="1"/>
  <c r="K267" i="1"/>
  <c r="K265" i="1"/>
  <c r="K264" i="1"/>
  <c r="K263" i="1"/>
  <c r="K262" i="1"/>
  <c r="K261" i="1"/>
  <c r="K259" i="1"/>
  <c r="K258" i="1"/>
  <c r="K257" i="1"/>
  <c r="I274" i="1"/>
  <c r="I273" i="1"/>
  <c r="I271" i="1"/>
  <c r="I270" i="1"/>
  <c r="I269" i="1"/>
  <c r="I268" i="1"/>
  <c r="I267" i="1"/>
  <c r="I265" i="1"/>
  <c r="I264" i="1"/>
  <c r="I263" i="1"/>
  <c r="I262" i="1"/>
  <c r="I261" i="1"/>
  <c r="I259" i="1"/>
  <c r="I258" i="1"/>
  <c r="I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W256" i="1" l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21" i="1"/>
  <c r="I226" i="1"/>
  <c r="I225" i="1"/>
  <c r="I224" i="1"/>
  <c r="I223" i="1"/>
  <c r="I222" i="1"/>
  <c r="AA220" i="1"/>
  <c r="AA219" i="1"/>
  <c r="AA218" i="1"/>
  <c r="AA217" i="1"/>
  <c r="AA216" i="1"/>
  <c r="AA215" i="1"/>
  <c r="Y220" i="1"/>
  <c r="Y219" i="1"/>
  <c r="Y218" i="1"/>
  <c r="Y217" i="1"/>
  <c r="Y216" i="1"/>
  <c r="Y215" i="1"/>
  <c r="W220" i="1"/>
  <c r="W219" i="1"/>
  <c r="W218" i="1"/>
  <c r="W217" i="1"/>
  <c r="W216" i="1"/>
  <c r="W215" i="1"/>
  <c r="U220" i="1"/>
  <c r="U219" i="1"/>
  <c r="U218" i="1"/>
  <c r="U217" i="1"/>
  <c r="U216" i="1"/>
  <c r="U215" i="1"/>
  <c r="S220" i="1"/>
  <c r="S219" i="1"/>
  <c r="S218" i="1"/>
  <c r="S217" i="1"/>
  <c r="S216" i="1"/>
  <c r="S215" i="1"/>
  <c r="Q220" i="1"/>
  <c r="Q219" i="1"/>
  <c r="Q218" i="1"/>
  <c r="Q217" i="1"/>
  <c r="Q216" i="1"/>
  <c r="Q215" i="1"/>
  <c r="O220" i="1"/>
  <c r="O219" i="1"/>
  <c r="O218" i="1"/>
  <c r="O217" i="1"/>
  <c r="O216" i="1"/>
  <c r="O215" i="1"/>
  <c r="M220" i="1"/>
  <c r="M219" i="1"/>
  <c r="M218" i="1"/>
  <c r="M217" i="1"/>
  <c r="M216" i="1"/>
  <c r="M215" i="1"/>
  <c r="K220" i="1"/>
  <c r="K219" i="1"/>
  <c r="K218" i="1"/>
  <c r="K217" i="1"/>
  <c r="K216" i="1"/>
  <c r="K215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I208" i="1"/>
  <c r="I207" i="1"/>
  <c r="I206" i="1"/>
  <c r="I205" i="1"/>
  <c r="I204" i="1"/>
  <c r="I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190" i="1"/>
  <c r="I189" i="1"/>
  <c r="I188" i="1"/>
  <c r="I187" i="1"/>
  <c r="I186" i="1"/>
  <c r="I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72" i="1"/>
  <c r="I171" i="1"/>
  <c r="I170" i="1"/>
  <c r="I169" i="1"/>
  <c r="I168" i="1"/>
  <c r="I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54" i="1"/>
  <c r="I153" i="1"/>
  <c r="I152" i="1"/>
  <c r="I151" i="1"/>
  <c r="I150" i="1"/>
  <c r="I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36" i="1"/>
  <c r="I135" i="1"/>
  <c r="I134" i="1"/>
  <c r="I133" i="1"/>
  <c r="I132" i="1"/>
  <c r="I131" i="1"/>
  <c r="AA130" i="1"/>
  <c r="AA129" i="1"/>
  <c r="AA128" i="1"/>
  <c r="AA126" i="1"/>
  <c r="AA125" i="1"/>
  <c r="AA124" i="1"/>
  <c r="AA123" i="1"/>
  <c r="AA122" i="1"/>
  <c r="AA120" i="1"/>
  <c r="AA119" i="1"/>
  <c r="AA118" i="1"/>
  <c r="AA117" i="1"/>
  <c r="AA116" i="1"/>
  <c r="AA114" i="1"/>
  <c r="AA113" i="1"/>
  <c r="Y130" i="1"/>
  <c r="Y129" i="1"/>
  <c r="Y128" i="1"/>
  <c r="Y126" i="1"/>
  <c r="Y125" i="1"/>
  <c r="Y124" i="1"/>
  <c r="Y123" i="1"/>
  <c r="Y122" i="1"/>
  <c r="Y120" i="1"/>
  <c r="Y119" i="1"/>
  <c r="Y118" i="1"/>
  <c r="Y117" i="1"/>
  <c r="Y116" i="1"/>
  <c r="Y114" i="1"/>
  <c r="Y113" i="1"/>
  <c r="W130" i="1"/>
  <c r="W129" i="1"/>
  <c r="W128" i="1"/>
  <c r="W126" i="1"/>
  <c r="W125" i="1"/>
  <c r="W124" i="1"/>
  <c r="W123" i="1"/>
  <c r="W122" i="1"/>
  <c r="W120" i="1"/>
  <c r="W119" i="1"/>
  <c r="W118" i="1"/>
  <c r="W117" i="1"/>
  <c r="W116" i="1"/>
  <c r="W114" i="1"/>
  <c r="W113" i="1"/>
  <c r="U130" i="1"/>
  <c r="U129" i="1"/>
  <c r="U128" i="1"/>
  <c r="U126" i="1"/>
  <c r="U125" i="1"/>
  <c r="U124" i="1"/>
  <c r="U123" i="1"/>
  <c r="U122" i="1"/>
  <c r="U120" i="1"/>
  <c r="U119" i="1"/>
  <c r="U118" i="1"/>
  <c r="U117" i="1"/>
  <c r="U116" i="1"/>
  <c r="U114" i="1"/>
  <c r="U113" i="1"/>
  <c r="S130" i="1"/>
  <c r="S129" i="1"/>
  <c r="S128" i="1"/>
  <c r="S126" i="1"/>
  <c r="S125" i="1"/>
  <c r="S124" i="1"/>
  <c r="S123" i="1"/>
  <c r="S122" i="1"/>
  <c r="S120" i="1"/>
  <c r="S119" i="1"/>
  <c r="S118" i="1"/>
  <c r="S117" i="1"/>
  <c r="S116" i="1"/>
  <c r="S114" i="1"/>
  <c r="S113" i="1"/>
  <c r="Q130" i="1"/>
  <c r="Q129" i="1"/>
  <c r="Q128" i="1"/>
  <c r="Q126" i="1"/>
  <c r="Q125" i="1"/>
  <c r="Q124" i="1"/>
  <c r="Q123" i="1"/>
  <c r="Q122" i="1"/>
  <c r="Q120" i="1"/>
  <c r="Q119" i="1"/>
  <c r="Q118" i="1"/>
  <c r="Q117" i="1"/>
  <c r="Q116" i="1"/>
  <c r="Q114" i="1"/>
  <c r="Q113" i="1"/>
  <c r="O130" i="1"/>
  <c r="O129" i="1"/>
  <c r="O128" i="1"/>
  <c r="O126" i="1"/>
  <c r="O125" i="1"/>
  <c r="O124" i="1"/>
  <c r="O123" i="1"/>
  <c r="O122" i="1"/>
  <c r="O120" i="1"/>
  <c r="O119" i="1"/>
  <c r="O118" i="1"/>
  <c r="O117" i="1"/>
  <c r="O116" i="1"/>
  <c r="O114" i="1"/>
  <c r="O113" i="1"/>
  <c r="M130" i="1"/>
  <c r="M129" i="1"/>
  <c r="M128" i="1"/>
  <c r="M126" i="1"/>
  <c r="M125" i="1"/>
  <c r="M124" i="1"/>
  <c r="M123" i="1"/>
  <c r="M122" i="1"/>
  <c r="M120" i="1"/>
  <c r="M119" i="1"/>
  <c r="M118" i="1"/>
  <c r="M117" i="1"/>
  <c r="M116" i="1"/>
  <c r="M114" i="1"/>
  <c r="M113" i="1"/>
  <c r="K130" i="1"/>
  <c r="K129" i="1"/>
  <c r="K128" i="1"/>
  <c r="K126" i="1"/>
  <c r="K125" i="1"/>
  <c r="K124" i="1"/>
  <c r="K123" i="1"/>
  <c r="K122" i="1"/>
  <c r="K120" i="1"/>
  <c r="K119" i="1"/>
  <c r="K118" i="1"/>
  <c r="K117" i="1"/>
  <c r="K116" i="1"/>
  <c r="K114" i="1"/>
  <c r="K113" i="1"/>
  <c r="I119" i="1"/>
  <c r="I120" i="1"/>
  <c r="I122" i="1"/>
  <c r="I123" i="1"/>
  <c r="I124" i="1"/>
  <c r="I125" i="1"/>
  <c r="I126" i="1"/>
  <c r="I128" i="1"/>
  <c r="I129" i="1"/>
  <c r="I130" i="1"/>
  <c r="I118" i="1"/>
  <c r="I117" i="1"/>
  <c r="I116" i="1"/>
  <c r="I114" i="1"/>
  <c r="I113" i="1"/>
  <c r="AA112" i="1"/>
  <c r="AA111" i="1"/>
  <c r="AA110" i="1"/>
  <c r="AA108" i="1"/>
  <c r="AA107" i="1"/>
  <c r="AA106" i="1"/>
  <c r="AA105" i="1"/>
  <c r="AA104" i="1"/>
  <c r="AA102" i="1"/>
  <c r="AA101" i="1"/>
  <c r="AA100" i="1"/>
  <c r="AA99" i="1"/>
  <c r="AA98" i="1"/>
  <c r="AA96" i="1"/>
  <c r="AA95" i="1"/>
  <c r="Y112" i="1"/>
  <c r="Y111" i="1"/>
  <c r="Y110" i="1"/>
  <c r="Y108" i="1"/>
  <c r="Y107" i="1"/>
  <c r="Y106" i="1"/>
  <c r="Y105" i="1"/>
  <c r="Y104" i="1"/>
  <c r="Y102" i="1"/>
  <c r="Y101" i="1"/>
  <c r="Y100" i="1"/>
  <c r="Y99" i="1"/>
  <c r="Y98" i="1"/>
  <c r="Y96" i="1"/>
  <c r="Y95" i="1"/>
  <c r="W112" i="1"/>
  <c r="W111" i="1"/>
  <c r="W110" i="1"/>
  <c r="W108" i="1"/>
  <c r="W107" i="1"/>
  <c r="W106" i="1"/>
  <c r="W105" i="1"/>
  <c r="W104" i="1"/>
  <c r="W102" i="1"/>
  <c r="W101" i="1"/>
  <c r="W100" i="1"/>
  <c r="W99" i="1"/>
  <c r="W98" i="1"/>
  <c r="W96" i="1"/>
  <c r="W95" i="1"/>
  <c r="U112" i="1"/>
  <c r="U111" i="1"/>
  <c r="U110" i="1"/>
  <c r="U108" i="1"/>
  <c r="U107" i="1"/>
  <c r="U106" i="1"/>
  <c r="U105" i="1"/>
  <c r="U104" i="1"/>
  <c r="U102" i="1"/>
  <c r="U101" i="1"/>
  <c r="U100" i="1"/>
  <c r="U99" i="1"/>
  <c r="U98" i="1"/>
  <c r="U96" i="1"/>
  <c r="U95" i="1"/>
  <c r="S112" i="1"/>
  <c r="S111" i="1"/>
  <c r="S110" i="1"/>
  <c r="S108" i="1"/>
  <c r="S107" i="1"/>
  <c r="S106" i="1"/>
  <c r="S105" i="1"/>
  <c r="S104" i="1"/>
  <c r="S102" i="1"/>
  <c r="S101" i="1"/>
  <c r="S100" i="1"/>
  <c r="S99" i="1"/>
  <c r="S98" i="1"/>
  <c r="S96" i="1"/>
  <c r="S95" i="1"/>
  <c r="Q112" i="1"/>
  <c r="Q111" i="1"/>
  <c r="Q110" i="1"/>
  <c r="Q108" i="1"/>
  <c r="Q107" i="1"/>
  <c r="Q106" i="1"/>
  <c r="Q105" i="1"/>
  <c r="Q104" i="1"/>
  <c r="Q102" i="1"/>
  <c r="Q101" i="1"/>
  <c r="Q100" i="1"/>
  <c r="Q99" i="1"/>
  <c r="Q98" i="1"/>
  <c r="Q96" i="1"/>
  <c r="Q95" i="1"/>
  <c r="O112" i="1"/>
  <c r="O111" i="1"/>
  <c r="O110" i="1"/>
  <c r="O108" i="1"/>
  <c r="O107" i="1"/>
  <c r="O106" i="1"/>
  <c r="O105" i="1"/>
  <c r="O104" i="1"/>
  <c r="O102" i="1"/>
  <c r="O101" i="1"/>
  <c r="O100" i="1"/>
  <c r="O99" i="1"/>
  <c r="O98" i="1"/>
  <c r="O96" i="1"/>
  <c r="O95" i="1"/>
  <c r="M112" i="1"/>
  <c r="M111" i="1"/>
  <c r="M110" i="1"/>
  <c r="M108" i="1"/>
  <c r="M107" i="1"/>
  <c r="M106" i="1"/>
  <c r="M105" i="1"/>
  <c r="M104" i="1"/>
  <c r="M102" i="1"/>
  <c r="M101" i="1"/>
  <c r="M100" i="1"/>
  <c r="M99" i="1"/>
  <c r="M98" i="1"/>
  <c r="M96" i="1"/>
  <c r="M95" i="1"/>
  <c r="K112" i="1"/>
  <c r="K111" i="1"/>
  <c r="K110" i="1"/>
  <c r="K108" i="1"/>
  <c r="K107" i="1"/>
  <c r="K106" i="1"/>
  <c r="K105" i="1"/>
  <c r="K104" i="1"/>
  <c r="K102" i="1"/>
  <c r="K101" i="1"/>
  <c r="K100" i="1"/>
  <c r="K99" i="1"/>
  <c r="K98" i="1"/>
  <c r="K96" i="1"/>
  <c r="K95" i="1"/>
  <c r="I101" i="1"/>
  <c r="I102" i="1"/>
  <c r="I104" i="1"/>
  <c r="I105" i="1"/>
  <c r="I106" i="1"/>
  <c r="I107" i="1"/>
  <c r="I108" i="1"/>
  <c r="I110" i="1"/>
  <c r="I111" i="1"/>
  <c r="I112" i="1"/>
  <c r="I100" i="1"/>
  <c r="I99" i="1"/>
  <c r="I95" i="1"/>
  <c r="I96" i="1"/>
  <c r="I98" i="1"/>
  <c r="AA94" i="1"/>
  <c r="AA93" i="1"/>
  <c r="AA92" i="1"/>
  <c r="AA91" i="1"/>
  <c r="AA90" i="1"/>
  <c r="AA89" i="1"/>
  <c r="AA88" i="1"/>
  <c r="AA86" i="1"/>
  <c r="AA84" i="1"/>
  <c r="AA83" i="1"/>
  <c r="AA82" i="1"/>
  <c r="AA81" i="1"/>
  <c r="AA80" i="1"/>
  <c r="AA79" i="1"/>
  <c r="AA78" i="1"/>
  <c r="AA77" i="1"/>
  <c r="Y94" i="1"/>
  <c r="Y93" i="1"/>
  <c r="Y92" i="1"/>
  <c r="Y91" i="1"/>
  <c r="Y90" i="1"/>
  <c r="Y89" i="1"/>
  <c r="Y88" i="1"/>
  <c r="Y86" i="1"/>
  <c r="Y84" i="1"/>
  <c r="Y83" i="1"/>
  <c r="Y82" i="1"/>
  <c r="Y81" i="1"/>
  <c r="Y80" i="1"/>
  <c r="Y79" i="1"/>
  <c r="Y78" i="1"/>
  <c r="Y77" i="1"/>
  <c r="W94" i="1"/>
  <c r="W93" i="1"/>
  <c r="W92" i="1"/>
  <c r="W91" i="1"/>
  <c r="W90" i="1"/>
  <c r="W89" i="1"/>
  <c r="W88" i="1"/>
  <c r="W86" i="1"/>
  <c r="W84" i="1"/>
  <c r="W83" i="1"/>
  <c r="W82" i="1"/>
  <c r="W81" i="1"/>
  <c r="W80" i="1"/>
  <c r="W79" i="1"/>
  <c r="W78" i="1"/>
  <c r="W77" i="1"/>
  <c r="U94" i="1"/>
  <c r="U93" i="1"/>
  <c r="U92" i="1"/>
  <c r="U91" i="1"/>
  <c r="U90" i="1"/>
  <c r="U89" i="1"/>
  <c r="U88" i="1"/>
  <c r="U86" i="1"/>
  <c r="U84" i="1"/>
  <c r="U83" i="1"/>
  <c r="U82" i="1"/>
  <c r="U81" i="1"/>
  <c r="U80" i="1"/>
  <c r="U79" i="1"/>
  <c r="U78" i="1"/>
  <c r="U77" i="1"/>
  <c r="S94" i="1"/>
  <c r="S93" i="1"/>
  <c r="S92" i="1"/>
  <c r="S91" i="1"/>
  <c r="S90" i="1"/>
  <c r="S89" i="1"/>
  <c r="S88" i="1"/>
  <c r="S86" i="1"/>
  <c r="S84" i="1"/>
  <c r="S83" i="1"/>
  <c r="S82" i="1"/>
  <c r="S81" i="1"/>
  <c r="S80" i="1"/>
  <c r="S79" i="1"/>
  <c r="S78" i="1"/>
  <c r="S77" i="1"/>
  <c r="Q94" i="1"/>
  <c r="Q93" i="1"/>
  <c r="Q92" i="1"/>
  <c r="Q91" i="1"/>
  <c r="Q90" i="1"/>
  <c r="Q89" i="1"/>
  <c r="Q88" i="1"/>
  <c r="Q86" i="1"/>
  <c r="Q84" i="1"/>
  <c r="Q83" i="1"/>
  <c r="Q82" i="1"/>
  <c r="Q81" i="1"/>
  <c r="Q80" i="1"/>
  <c r="Q79" i="1"/>
  <c r="Q78" i="1"/>
  <c r="Q77" i="1"/>
  <c r="O94" i="1"/>
  <c r="O93" i="1"/>
  <c r="O92" i="1"/>
  <c r="O91" i="1"/>
  <c r="O90" i="1"/>
  <c r="O89" i="1"/>
  <c r="O88" i="1"/>
  <c r="O86" i="1"/>
  <c r="O84" i="1"/>
  <c r="O83" i="1"/>
  <c r="O82" i="1"/>
  <c r="O81" i="1"/>
  <c r="O80" i="1"/>
  <c r="O79" i="1"/>
  <c r="O78" i="1"/>
  <c r="O77" i="1"/>
  <c r="M94" i="1"/>
  <c r="M93" i="1"/>
  <c r="M92" i="1"/>
  <c r="M91" i="1"/>
  <c r="M90" i="1"/>
  <c r="M89" i="1"/>
  <c r="M88" i="1"/>
  <c r="M86" i="1"/>
  <c r="M84" i="1"/>
  <c r="M83" i="1"/>
  <c r="M82" i="1"/>
  <c r="M81" i="1"/>
  <c r="M80" i="1"/>
  <c r="M79" i="1"/>
  <c r="M78" i="1"/>
  <c r="M77" i="1"/>
  <c r="K94" i="1"/>
  <c r="K93" i="1"/>
  <c r="K92" i="1"/>
  <c r="K91" i="1"/>
  <c r="K90" i="1"/>
  <c r="K89" i="1"/>
  <c r="K88" i="1"/>
  <c r="K87" i="1"/>
  <c r="O87" i="1" s="1"/>
  <c r="S87" i="1" s="1"/>
  <c r="W87" i="1" s="1"/>
  <c r="AA87" i="1" s="1"/>
  <c r="K86" i="1"/>
  <c r="K85" i="1"/>
  <c r="O85" i="1" s="1"/>
  <c r="S85" i="1" s="1"/>
  <c r="W85" i="1" s="1"/>
  <c r="AA85" i="1" s="1"/>
  <c r="K84" i="1"/>
  <c r="K83" i="1"/>
  <c r="K82" i="1"/>
  <c r="K81" i="1"/>
  <c r="K80" i="1"/>
  <c r="K79" i="1"/>
  <c r="K78" i="1"/>
  <c r="K77" i="1"/>
  <c r="I94" i="1"/>
  <c r="I93" i="1"/>
  <c r="I92" i="1"/>
  <c r="I91" i="1"/>
  <c r="I90" i="1"/>
  <c r="I89" i="1"/>
  <c r="I88" i="1"/>
  <c r="I86" i="1"/>
  <c r="I87" i="1"/>
  <c r="M87" i="1" s="1"/>
  <c r="Q87" i="1" s="1"/>
  <c r="U87" i="1" s="1"/>
  <c r="Y87" i="1" s="1"/>
  <c r="I84" i="1"/>
  <c r="I83" i="1"/>
  <c r="I82" i="1"/>
  <c r="I81" i="1"/>
  <c r="I80" i="1"/>
  <c r="I79" i="1"/>
  <c r="I78" i="1"/>
  <c r="I77" i="1"/>
  <c r="I85" i="1"/>
  <c r="M85" i="1" s="1"/>
  <c r="Q85" i="1" s="1"/>
  <c r="U85" i="1" s="1"/>
  <c r="Y85" i="1" s="1"/>
  <c r="I71" i="1"/>
  <c r="U65" i="1"/>
  <c r="U66" i="1"/>
  <c r="U67" i="1"/>
  <c r="U68" i="1"/>
  <c r="U69" i="1"/>
  <c r="U70" i="1"/>
  <c r="U71" i="1"/>
  <c r="U72" i="1"/>
  <c r="U73" i="1"/>
  <c r="U74" i="1"/>
  <c r="U75" i="1"/>
  <c r="U76" i="1"/>
  <c r="S71" i="1"/>
  <c r="S72" i="1"/>
  <c r="S73" i="1"/>
  <c r="S74" i="1"/>
  <c r="S75" i="1"/>
  <c r="S76" i="1"/>
  <c r="S65" i="1"/>
  <c r="S66" i="1"/>
  <c r="S67" i="1"/>
  <c r="S68" i="1"/>
  <c r="S69" i="1"/>
  <c r="S70" i="1"/>
  <c r="Q71" i="1"/>
  <c r="Q72" i="1"/>
  <c r="Q73" i="1"/>
  <c r="Q74" i="1"/>
  <c r="Q75" i="1"/>
  <c r="Q76" i="1"/>
  <c r="Q70" i="1"/>
  <c r="Q69" i="1"/>
  <c r="Q68" i="1"/>
  <c r="Q67" i="1"/>
  <c r="Q66" i="1"/>
  <c r="Q65" i="1"/>
  <c r="O76" i="1"/>
  <c r="O75" i="1"/>
  <c r="O74" i="1"/>
  <c r="O73" i="1"/>
  <c r="O72" i="1"/>
  <c r="O71" i="1"/>
  <c r="O70" i="1"/>
  <c r="O69" i="1"/>
  <c r="O68" i="1"/>
  <c r="O67" i="1"/>
  <c r="O66" i="1"/>
  <c r="O65" i="1"/>
  <c r="M76" i="1"/>
  <c r="M75" i="1"/>
  <c r="M74" i="1"/>
  <c r="M73" i="1"/>
  <c r="M72" i="1"/>
  <c r="M71" i="1"/>
  <c r="M70" i="1"/>
  <c r="M69" i="1"/>
  <c r="M68" i="1"/>
  <c r="M67" i="1"/>
  <c r="M66" i="1"/>
  <c r="M65" i="1"/>
  <c r="K76" i="1"/>
  <c r="K75" i="1"/>
  <c r="K74" i="1"/>
  <c r="K73" i="1"/>
  <c r="K72" i="1"/>
  <c r="K71" i="1"/>
  <c r="K70" i="1"/>
  <c r="K69" i="1"/>
  <c r="K68" i="1"/>
  <c r="K67" i="1"/>
  <c r="K66" i="1"/>
  <c r="K65" i="1"/>
  <c r="W76" i="1"/>
  <c r="W75" i="1"/>
  <c r="W74" i="1"/>
  <c r="W73" i="1"/>
  <c r="W72" i="1"/>
  <c r="W71" i="1"/>
  <c r="W70" i="1"/>
  <c r="W69" i="1"/>
  <c r="W68" i="1"/>
  <c r="W67" i="1"/>
  <c r="W66" i="1"/>
  <c r="W65" i="1"/>
  <c r="Y76" i="1"/>
  <c r="Y75" i="1"/>
  <c r="Y74" i="1"/>
  <c r="Y73" i="1"/>
  <c r="Y72" i="1"/>
  <c r="Y71" i="1"/>
  <c r="Y70" i="1"/>
  <c r="Y69" i="1"/>
  <c r="Y68" i="1"/>
  <c r="Y67" i="1"/>
  <c r="Y66" i="1"/>
  <c r="Y65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Y64" i="1"/>
  <c r="Y63" i="1"/>
  <c r="Y62" i="1"/>
  <c r="Y61" i="1"/>
  <c r="Y60" i="1"/>
  <c r="Y59" i="1"/>
  <c r="W64" i="1"/>
  <c r="W63" i="1"/>
  <c r="W62" i="1"/>
  <c r="W61" i="1"/>
  <c r="W60" i="1"/>
  <c r="W59" i="1"/>
  <c r="U64" i="1"/>
  <c r="U63" i="1"/>
  <c r="U62" i="1"/>
  <c r="U61" i="1"/>
  <c r="U60" i="1"/>
  <c r="U59" i="1"/>
  <c r="S64" i="1"/>
  <c r="S63" i="1"/>
  <c r="S62" i="1"/>
  <c r="S61" i="1"/>
  <c r="S60" i="1"/>
  <c r="S59" i="1"/>
  <c r="Q64" i="1"/>
  <c r="Q63" i="1"/>
  <c r="Q62" i="1"/>
  <c r="Q61" i="1"/>
  <c r="Q60" i="1"/>
  <c r="Q59" i="1"/>
  <c r="O64" i="1"/>
  <c r="O63" i="1"/>
  <c r="O62" i="1"/>
  <c r="O61" i="1"/>
  <c r="O60" i="1"/>
  <c r="O59" i="1"/>
  <c r="M64" i="1"/>
  <c r="M63" i="1"/>
  <c r="M62" i="1"/>
  <c r="M61" i="1"/>
  <c r="M60" i="1"/>
  <c r="M59" i="1"/>
  <c r="K64" i="1"/>
  <c r="K63" i="1"/>
  <c r="K62" i="1"/>
  <c r="K61" i="1"/>
  <c r="K60" i="1"/>
  <c r="K59" i="1"/>
  <c r="I76" i="1"/>
  <c r="I75" i="1"/>
  <c r="I74" i="1"/>
  <c r="I73" i="1"/>
  <c r="I72" i="1"/>
  <c r="I70" i="1"/>
  <c r="I69" i="1"/>
  <c r="I68" i="1"/>
  <c r="I67" i="1"/>
  <c r="I66" i="1"/>
  <c r="I65" i="1"/>
  <c r="I64" i="1"/>
  <c r="I63" i="1"/>
  <c r="I62" i="1"/>
  <c r="I61" i="1"/>
  <c r="I60" i="1"/>
  <c r="I59" i="1"/>
  <c r="AA58" i="1"/>
  <c r="AA57" i="1"/>
  <c r="AA56" i="1"/>
  <c r="AA55" i="1"/>
  <c r="AA54" i="1"/>
  <c r="AA53" i="1"/>
  <c r="Y58" i="1"/>
  <c r="Y57" i="1"/>
  <c r="Y56" i="1"/>
  <c r="Y55" i="1"/>
  <c r="Y54" i="1"/>
  <c r="Y53" i="1"/>
  <c r="W58" i="1"/>
  <c r="W57" i="1"/>
  <c r="W56" i="1"/>
  <c r="W55" i="1"/>
  <c r="W54" i="1"/>
  <c r="W53" i="1"/>
  <c r="U58" i="1"/>
  <c r="U57" i="1"/>
  <c r="U56" i="1"/>
  <c r="U55" i="1"/>
  <c r="U54" i="1"/>
  <c r="U53" i="1"/>
  <c r="S58" i="1"/>
  <c r="S57" i="1"/>
  <c r="S56" i="1"/>
  <c r="S55" i="1"/>
  <c r="S54" i="1"/>
  <c r="S53" i="1"/>
  <c r="Q58" i="1"/>
  <c r="Q57" i="1"/>
  <c r="Q56" i="1"/>
  <c r="Q55" i="1"/>
  <c r="Q54" i="1"/>
  <c r="Q53" i="1"/>
  <c r="O58" i="1"/>
  <c r="O57" i="1"/>
  <c r="O56" i="1"/>
  <c r="O55" i="1"/>
  <c r="O54" i="1"/>
  <c r="O53" i="1"/>
  <c r="M58" i="1"/>
  <c r="M57" i="1"/>
  <c r="M56" i="1"/>
  <c r="M55" i="1"/>
  <c r="M54" i="1"/>
  <c r="M53" i="1"/>
  <c r="K58" i="1"/>
  <c r="K57" i="1"/>
  <c r="K56" i="1"/>
  <c r="K55" i="1"/>
  <c r="K54" i="1"/>
  <c r="K53" i="1"/>
  <c r="AA52" i="1"/>
  <c r="AA51" i="1"/>
  <c r="AA50" i="1"/>
  <c r="AA49" i="1"/>
  <c r="AA48" i="1"/>
  <c r="AA47" i="1"/>
  <c r="Y52" i="1"/>
  <c r="Y51" i="1"/>
  <c r="Y50" i="1"/>
  <c r="Y49" i="1"/>
  <c r="Y48" i="1"/>
  <c r="Y47" i="1"/>
  <c r="W52" i="1"/>
  <c r="W51" i="1"/>
  <c r="W50" i="1"/>
  <c r="W49" i="1"/>
  <c r="W48" i="1"/>
  <c r="W47" i="1"/>
  <c r="U52" i="1"/>
  <c r="U51" i="1"/>
  <c r="U50" i="1"/>
  <c r="U49" i="1"/>
  <c r="U48" i="1"/>
  <c r="U47" i="1"/>
  <c r="S52" i="1"/>
  <c r="S51" i="1"/>
  <c r="S50" i="1"/>
  <c r="S49" i="1"/>
  <c r="S48" i="1"/>
  <c r="S47" i="1"/>
  <c r="Q52" i="1"/>
  <c r="Q51" i="1"/>
  <c r="Q50" i="1"/>
  <c r="Q49" i="1"/>
  <c r="Q48" i="1"/>
  <c r="Q47" i="1"/>
  <c r="O52" i="1"/>
  <c r="O51" i="1"/>
  <c r="O50" i="1"/>
  <c r="O49" i="1"/>
  <c r="O48" i="1"/>
  <c r="O47" i="1"/>
  <c r="M52" i="1"/>
  <c r="M51" i="1"/>
  <c r="M50" i="1"/>
  <c r="M49" i="1"/>
  <c r="M48" i="1"/>
  <c r="M47" i="1"/>
  <c r="K52" i="1"/>
  <c r="K51" i="1"/>
  <c r="K50" i="1"/>
  <c r="K49" i="1"/>
  <c r="K48" i="1"/>
  <c r="K47" i="1"/>
  <c r="AA46" i="1"/>
  <c r="AA45" i="1"/>
  <c r="AA44" i="1"/>
  <c r="AA43" i="1"/>
  <c r="AA42" i="1"/>
  <c r="AA41" i="1"/>
  <c r="Y46" i="1"/>
  <c r="Y45" i="1"/>
  <c r="Y44" i="1"/>
  <c r="Y43" i="1"/>
  <c r="Y42" i="1"/>
  <c r="Y41" i="1"/>
  <c r="W46" i="1"/>
  <c r="W45" i="1"/>
  <c r="W44" i="1"/>
  <c r="W43" i="1"/>
  <c r="W42" i="1"/>
  <c r="W41" i="1"/>
  <c r="U46" i="1"/>
  <c r="U45" i="1"/>
  <c r="U44" i="1"/>
  <c r="U43" i="1"/>
  <c r="U42" i="1"/>
  <c r="U41" i="1"/>
  <c r="S46" i="1"/>
  <c r="S45" i="1"/>
  <c r="S44" i="1"/>
  <c r="S43" i="1"/>
  <c r="S42" i="1"/>
  <c r="S41" i="1"/>
  <c r="Q46" i="1"/>
  <c r="Q45" i="1"/>
  <c r="Q44" i="1"/>
  <c r="Q43" i="1"/>
  <c r="Q42" i="1"/>
  <c r="Q41" i="1"/>
  <c r="O46" i="1"/>
  <c r="O45" i="1"/>
  <c r="O44" i="1"/>
  <c r="O43" i="1"/>
  <c r="O42" i="1"/>
  <c r="O41" i="1"/>
  <c r="M46" i="1"/>
  <c r="M45" i="1"/>
  <c r="M44" i="1"/>
  <c r="M43" i="1"/>
  <c r="M42" i="1"/>
  <c r="M41" i="1"/>
  <c r="K46" i="1"/>
  <c r="K45" i="1"/>
  <c r="K44" i="1"/>
  <c r="K43" i="1"/>
  <c r="K42" i="1"/>
  <c r="K41" i="1"/>
  <c r="I46" i="1"/>
  <c r="I45" i="1"/>
  <c r="I44" i="1"/>
  <c r="I43" i="1"/>
  <c r="I42" i="1"/>
  <c r="I41" i="1"/>
  <c r="I58" i="1"/>
  <c r="I57" i="1"/>
  <c r="I56" i="1"/>
  <c r="I55" i="1"/>
  <c r="I54" i="1"/>
  <c r="I53" i="1"/>
  <c r="I52" i="1"/>
  <c r="I51" i="1"/>
  <c r="I50" i="1"/>
  <c r="I49" i="1"/>
  <c r="I48" i="1"/>
  <c r="I47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Y40" i="1"/>
  <c r="Y39" i="1"/>
  <c r="Y38" i="1"/>
  <c r="Y37" i="1"/>
  <c r="Y36" i="1"/>
  <c r="Y35" i="1"/>
  <c r="Y34" i="1"/>
  <c r="Y33" i="1"/>
  <c r="Y32" i="1"/>
  <c r="Y31" i="1"/>
  <c r="Y30" i="1"/>
  <c r="Y29" i="1"/>
  <c r="W40" i="1"/>
  <c r="W39" i="1"/>
  <c r="W38" i="1"/>
  <c r="W37" i="1"/>
  <c r="W36" i="1"/>
  <c r="W35" i="1"/>
  <c r="W34" i="1"/>
  <c r="W33" i="1"/>
  <c r="W32" i="1"/>
  <c r="W31" i="1"/>
  <c r="W30" i="1"/>
  <c r="W29" i="1"/>
  <c r="U40" i="1"/>
  <c r="U39" i="1"/>
  <c r="U38" i="1"/>
  <c r="U37" i="1"/>
  <c r="U36" i="1"/>
  <c r="U35" i="1"/>
  <c r="U34" i="1"/>
  <c r="U33" i="1"/>
  <c r="U32" i="1"/>
  <c r="U31" i="1"/>
  <c r="U30" i="1"/>
  <c r="U29" i="1"/>
  <c r="S40" i="1"/>
  <c r="S39" i="1"/>
  <c r="S38" i="1"/>
  <c r="S37" i="1"/>
  <c r="S36" i="1"/>
  <c r="S35" i="1"/>
  <c r="S34" i="1"/>
  <c r="S33" i="1"/>
  <c r="S32" i="1"/>
  <c r="S31" i="1"/>
  <c r="S30" i="1"/>
  <c r="S29" i="1"/>
  <c r="Q40" i="1"/>
  <c r="Q39" i="1"/>
  <c r="Q38" i="1"/>
  <c r="Q37" i="1"/>
  <c r="Q36" i="1"/>
  <c r="Q35" i="1"/>
  <c r="Q34" i="1"/>
  <c r="Q33" i="1"/>
  <c r="Q32" i="1"/>
  <c r="Q31" i="1"/>
  <c r="Q30" i="1"/>
  <c r="Q29" i="1"/>
  <c r="O40" i="1"/>
  <c r="O39" i="1"/>
  <c r="O38" i="1"/>
  <c r="O37" i="1"/>
  <c r="O36" i="1"/>
  <c r="O35" i="1"/>
  <c r="O34" i="1"/>
  <c r="O33" i="1"/>
  <c r="O32" i="1"/>
  <c r="O31" i="1"/>
  <c r="O30" i="1"/>
  <c r="O29" i="1"/>
  <c r="M40" i="1"/>
  <c r="M39" i="1"/>
  <c r="M38" i="1"/>
  <c r="M37" i="1"/>
  <c r="M36" i="1"/>
  <c r="M35" i="1"/>
  <c r="M34" i="1"/>
  <c r="M33" i="1"/>
  <c r="M32" i="1"/>
  <c r="M31" i="1"/>
  <c r="M30" i="1"/>
  <c r="M29" i="1"/>
  <c r="AA28" i="1"/>
  <c r="AA27" i="1"/>
  <c r="AA26" i="1"/>
  <c r="AA25" i="1"/>
  <c r="AA24" i="1"/>
  <c r="AA23" i="1"/>
  <c r="Y28" i="1"/>
  <c r="Y27" i="1"/>
  <c r="Y26" i="1"/>
  <c r="Y25" i="1"/>
  <c r="Y24" i="1"/>
  <c r="Y23" i="1"/>
  <c r="W28" i="1"/>
  <c r="W27" i="1"/>
  <c r="W26" i="1"/>
  <c r="W25" i="1"/>
  <c r="W24" i="1"/>
  <c r="W23" i="1"/>
  <c r="U28" i="1"/>
  <c r="U27" i="1"/>
  <c r="U26" i="1"/>
  <c r="U25" i="1"/>
  <c r="U24" i="1"/>
  <c r="U23" i="1"/>
  <c r="S28" i="1"/>
  <c r="S27" i="1"/>
  <c r="S26" i="1"/>
  <c r="S25" i="1"/>
  <c r="S24" i="1"/>
  <c r="S23" i="1"/>
  <c r="Q28" i="1"/>
  <c r="Q27" i="1"/>
  <c r="Q26" i="1"/>
  <c r="Q25" i="1"/>
  <c r="Q24" i="1"/>
  <c r="Q23" i="1"/>
  <c r="O28" i="1"/>
  <c r="O27" i="1"/>
  <c r="O26" i="1"/>
  <c r="O25" i="1"/>
  <c r="O24" i="1"/>
  <c r="O23" i="1"/>
  <c r="M28" i="1"/>
  <c r="M27" i="1"/>
  <c r="M26" i="1"/>
  <c r="M25" i="1"/>
  <c r="M24" i="1"/>
  <c r="M23" i="1"/>
  <c r="K35" i="1"/>
  <c r="K36" i="1"/>
  <c r="K37" i="1"/>
  <c r="K38" i="1"/>
  <c r="K39" i="1"/>
  <c r="K40" i="1"/>
  <c r="K29" i="1"/>
  <c r="K30" i="1"/>
  <c r="K31" i="1"/>
  <c r="K32" i="1"/>
  <c r="K33" i="1"/>
  <c r="K34" i="1"/>
  <c r="K28" i="1"/>
  <c r="K27" i="1"/>
  <c r="K26" i="1"/>
  <c r="K25" i="1"/>
  <c r="K24" i="1"/>
  <c r="K23" i="1"/>
  <c r="I35" i="1"/>
  <c r="I36" i="1"/>
  <c r="I37" i="1"/>
  <c r="I38" i="1"/>
  <c r="I39" i="1"/>
  <c r="I40" i="1"/>
  <c r="I29" i="1"/>
  <c r="I30" i="1"/>
  <c r="I31" i="1"/>
  <c r="I32" i="1"/>
  <c r="I33" i="1"/>
  <c r="I34" i="1"/>
  <c r="I26" i="1"/>
  <c r="I28" i="1"/>
  <c r="I27" i="1"/>
  <c r="I25" i="1"/>
  <c r="I24" i="1"/>
  <c r="I23" i="1"/>
</calcChain>
</file>

<file path=xl/sharedStrings.xml><?xml version="1.0" encoding="utf-8"?>
<sst xmlns="http://schemas.openxmlformats.org/spreadsheetml/2006/main" count="125" uniqueCount="26">
  <si>
    <t>Spec No.</t>
  </si>
  <si>
    <t>B</t>
  </si>
  <si>
    <t>A</t>
  </si>
  <si>
    <t>Maximum Allowable Stress (Ksi)</t>
  </si>
  <si>
    <t>Desgin Presssure (bar)</t>
  </si>
  <si>
    <t>A106</t>
  </si>
  <si>
    <t>C</t>
  </si>
  <si>
    <t>Sch</t>
  </si>
  <si>
    <t>E</t>
  </si>
  <si>
    <t>100 (37.7 C)</t>
  </si>
  <si>
    <t>200 (93.3 C)</t>
  </si>
  <si>
    <t>300 (148.9 C)</t>
  </si>
  <si>
    <t>400 (204.4 C)</t>
  </si>
  <si>
    <t>500 (260 C)</t>
  </si>
  <si>
    <t>600 (315.5 C)</t>
  </si>
  <si>
    <t>650 (343.3 C)</t>
  </si>
  <si>
    <t>700 (371.1 C)</t>
  </si>
  <si>
    <t>750 (398.9 C)</t>
  </si>
  <si>
    <t>800 (426.7 C)</t>
  </si>
  <si>
    <t>1/2</t>
  </si>
  <si>
    <t>Maximum Allowable Stress (Ksi) &amp; Design Pressure (bar) for Carbon Steel A106</t>
  </si>
  <si>
    <t>Pipe Size</t>
  </si>
  <si>
    <t>Outside Diameter (in)</t>
  </si>
  <si>
    <t>Thickness (in)</t>
  </si>
  <si>
    <r>
      <t xml:space="preserve">Tempreture  </t>
    </r>
    <r>
      <rPr>
        <b/>
        <sz val="14"/>
        <color theme="3"/>
        <rFont val="Calibri"/>
        <family val="2"/>
      </rPr>
      <t>˚</t>
    </r>
    <r>
      <rPr>
        <b/>
        <sz val="14"/>
        <color theme="3"/>
        <rFont val="Calibri"/>
        <family val="2"/>
        <scheme val="minor"/>
      </rPr>
      <t>F(</t>
    </r>
    <r>
      <rPr>
        <b/>
        <sz val="14"/>
        <color theme="3"/>
        <rFont val="Calibri"/>
        <family val="2"/>
      </rPr>
      <t>˚</t>
    </r>
    <r>
      <rPr>
        <b/>
        <sz val="14"/>
        <color theme="3"/>
        <rFont val="Calibri"/>
        <family val="2"/>
        <scheme val="minor"/>
      </rPr>
      <t>C)</t>
    </r>
  </si>
  <si>
    <t>Material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</si>
</sst>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3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1" applyNumberFormat="0" applyFill="0" applyAlignment="0" applyProtection="0"/>
    <xf numFmtId="0" fontId="1" fillId="5" borderId="0" applyNumberFormat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4" fillId="0" borderId="11" xfId="1" applyFont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9" fillId="5" borderId="4" xfId="2" applyNumberFormat="1" applyFont="1" applyBorder="1" applyAlignment="1">
      <alignment horizontal="center"/>
    </xf>
    <xf numFmtId="164" fontId="9" fillId="5" borderId="5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9" fillId="5" borderId="1" xfId="2" applyNumberFormat="1" applyFont="1" applyBorder="1" applyAlignment="1">
      <alignment horizontal="center"/>
    </xf>
    <xf numFmtId="164" fontId="9" fillId="5" borderId="7" xfId="2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4" fontId="9" fillId="5" borderId="9" xfId="2" applyNumberFormat="1" applyFont="1" applyBorder="1" applyAlignment="1">
      <alignment horizontal="center"/>
    </xf>
    <xf numFmtId="164" fontId="9" fillId="5" borderId="10" xfId="2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1" xfId="1" applyFont="1" applyAlignment="1">
      <alignment horizontal="center" vertical="center"/>
    </xf>
    <xf numFmtId="0" fontId="7" fillId="0" borderId="11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1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79E5-686C-42EF-82AA-B55AFCC82BEE}">
  <dimension ref="A1:ALE310"/>
  <sheetViews>
    <sheetView tabSelected="1" zoomScale="87" zoomScaleNormal="87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C4" sqref="AC4"/>
    </sheetView>
  </sheetViews>
  <sheetFormatPr defaultRowHeight="15.75" x14ac:dyDescent="0.25"/>
  <cols>
    <col min="1" max="1" width="9.140625" style="1" customWidth="1"/>
    <col min="2" max="2" width="12.7109375" style="1" customWidth="1"/>
    <col min="3" max="3" width="6.28515625" style="1" hidden="1" customWidth="1"/>
    <col min="4" max="4" width="11.7109375" style="1" customWidth="1"/>
    <col min="5" max="5" width="9.140625" style="1"/>
    <col min="6" max="6" width="15.28515625" style="1" customWidth="1"/>
    <col min="7" max="7" width="12" style="1" customWidth="1"/>
    <col min="8" max="8" width="13.7109375" style="1" hidden="1" customWidth="1"/>
    <col min="9" max="9" width="15.85546875" style="1" customWidth="1"/>
    <col min="10" max="10" width="11.28515625" style="1" hidden="1" customWidth="1"/>
    <col min="11" max="11" width="16.28515625" style="1" customWidth="1"/>
    <col min="12" max="12" width="13.5703125" style="1" hidden="1" customWidth="1"/>
    <col min="13" max="13" width="15.5703125" style="1" customWidth="1"/>
    <col min="14" max="14" width="12.7109375" style="1" hidden="1" customWidth="1"/>
    <col min="15" max="15" width="14.85546875" style="1" customWidth="1"/>
    <col min="16" max="16" width="12.140625" style="1" hidden="1" customWidth="1"/>
    <col min="17" max="17" width="16.7109375" style="1" customWidth="1"/>
    <col min="18" max="18" width="12.140625" style="1" hidden="1" customWidth="1"/>
    <col min="19" max="19" width="16.28515625" style="1" customWidth="1"/>
    <col min="20" max="20" width="12.140625" style="1" hidden="1" customWidth="1"/>
    <col min="21" max="21" width="16.42578125" style="1" customWidth="1"/>
    <col min="22" max="22" width="11.7109375" style="1" hidden="1" customWidth="1"/>
    <col min="23" max="23" width="16" style="1" customWidth="1"/>
    <col min="24" max="24" width="11.28515625" style="1" hidden="1" customWidth="1"/>
    <col min="25" max="25" width="16.28515625" style="1" customWidth="1"/>
    <col min="26" max="26" width="12.5703125" style="1" hidden="1" customWidth="1"/>
    <col min="27" max="27" width="15.42578125" style="1" customWidth="1"/>
    <col min="28" max="16384" width="9.140625" style="1"/>
  </cols>
  <sheetData>
    <row r="1" spans="1:993" s="2" customFormat="1" ht="45" customHeight="1" thickBot="1" x14ac:dyDescent="0.3">
      <c r="A1" s="55" t="s">
        <v>0</v>
      </c>
      <c r="B1" s="55" t="s">
        <v>25</v>
      </c>
      <c r="C1" s="58" t="s">
        <v>8</v>
      </c>
      <c r="D1" s="57" t="s">
        <v>21</v>
      </c>
      <c r="E1" s="57" t="s">
        <v>7</v>
      </c>
      <c r="F1" s="56" t="s">
        <v>22</v>
      </c>
      <c r="G1" s="56" t="s">
        <v>23</v>
      </c>
      <c r="H1" s="55" t="s">
        <v>20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</row>
    <row r="2" spans="1:993" s="2" customFormat="1" ht="20.25" thickTop="1" thickBot="1" x14ac:dyDescent="0.3">
      <c r="A2" s="55"/>
      <c r="B2" s="55"/>
      <c r="C2" s="58"/>
      <c r="D2" s="57"/>
      <c r="E2" s="57"/>
      <c r="F2" s="56"/>
      <c r="G2" s="56"/>
      <c r="H2" s="57" t="s">
        <v>24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</row>
    <row r="3" spans="1:993" s="2" customFormat="1" ht="17.25" thickTop="1" thickBot="1" x14ac:dyDescent="0.3">
      <c r="A3" s="55"/>
      <c r="B3" s="55"/>
      <c r="C3" s="58"/>
      <c r="D3" s="57"/>
      <c r="E3" s="57"/>
      <c r="F3" s="56"/>
      <c r="G3" s="56"/>
      <c r="H3" s="54" t="s">
        <v>9</v>
      </c>
      <c r="I3" s="59"/>
      <c r="J3" s="59" t="s">
        <v>10</v>
      </c>
      <c r="K3" s="59"/>
      <c r="L3" s="59" t="s">
        <v>11</v>
      </c>
      <c r="M3" s="59"/>
      <c r="N3" s="59" t="s">
        <v>12</v>
      </c>
      <c r="O3" s="59"/>
      <c r="P3" s="59" t="s">
        <v>13</v>
      </c>
      <c r="Q3" s="59"/>
      <c r="R3" s="59" t="s">
        <v>14</v>
      </c>
      <c r="S3" s="59"/>
      <c r="T3" s="59" t="s">
        <v>15</v>
      </c>
      <c r="U3" s="59"/>
      <c r="V3" s="59" t="s">
        <v>16</v>
      </c>
      <c r="W3" s="59"/>
      <c r="X3" s="59" t="s">
        <v>17</v>
      </c>
      <c r="Y3" s="59"/>
      <c r="Z3" s="59" t="s">
        <v>18</v>
      </c>
      <c r="AA3" s="5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</row>
    <row r="4" spans="1:993" s="2" customFormat="1" ht="95.25" thickTop="1" thickBot="1" x14ac:dyDescent="0.3">
      <c r="A4" s="55"/>
      <c r="B4" s="56"/>
      <c r="C4" s="58"/>
      <c r="D4" s="58"/>
      <c r="E4" s="58"/>
      <c r="F4" s="56"/>
      <c r="G4" s="56"/>
      <c r="H4" s="20" t="s">
        <v>3</v>
      </c>
      <c r="I4" s="60" t="s">
        <v>4</v>
      </c>
      <c r="J4" s="61" t="s">
        <v>3</v>
      </c>
      <c r="K4" s="60" t="s">
        <v>4</v>
      </c>
      <c r="L4" s="61" t="s">
        <v>3</v>
      </c>
      <c r="M4" s="60" t="s">
        <v>4</v>
      </c>
      <c r="N4" s="61" t="s">
        <v>3</v>
      </c>
      <c r="O4" s="60" t="s">
        <v>4</v>
      </c>
      <c r="P4" s="61" t="s">
        <v>3</v>
      </c>
      <c r="Q4" s="60" t="s">
        <v>4</v>
      </c>
      <c r="R4" s="61" t="s">
        <v>3</v>
      </c>
      <c r="S4" s="60" t="s">
        <v>4</v>
      </c>
      <c r="T4" s="61" t="s">
        <v>3</v>
      </c>
      <c r="U4" s="60" t="s">
        <v>4</v>
      </c>
      <c r="V4" s="61" t="s">
        <v>3</v>
      </c>
      <c r="W4" s="60" t="s">
        <v>4</v>
      </c>
      <c r="X4" s="61" t="s">
        <v>3</v>
      </c>
      <c r="Y4" s="60" t="s">
        <v>4</v>
      </c>
      <c r="Z4" s="61" t="s">
        <v>3</v>
      </c>
      <c r="AA4" s="60" t="s">
        <v>4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</row>
    <row r="5" spans="1:993" ht="19.5" thickTop="1" x14ac:dyDescent="0.3">
      <c r="A5" s="47" t="s">
        <v>5</v>
      </c>
      <c r="B5" s="48" t="s">
        <v>2</v>
      </c>
      <c r="C5" s="21">
        <v>1</v>
      </c>
      <c r="D5" s="22" t="s">
        <v>19</v>
      </c>
      <c r="E5" s="21">
        <v>5</v>
      </c>
      <c r="F5" s="21">
        <v>0.84</v>
      </c>
      <c r="G5" s="21">
        <v>6.5000000000000002E-2</v>
      </c>
      <c r="H5" s="21">
        <v>16</v>
      </c>
      <c r="I5" s="24">
        <f>10^3*0.06895*(2*H5*0.065)/(0.84*$C$5)</f>
        <v>170.73333333333335</v>
      </c>
      <c r="J5" s="21">
        <v>16</v>
      </c>
      <c r="K5" s="24">
        <f>10^3*0.06895*(2*J5*0.065)/(0.84*$C$5)</f>
        <v>170.73333333333335</v>
      </c>
      <c r="L5" s="21">
        <v>16</v>
      </c>
      <c r="M5" s="24">
        <f>10^3*0.06895*(2*L5*0.065)/(0.84*$C$5)</f>
        <v>170.73333333333335</v>
      </c>
      <c r="N5" s="21">
        <v>16</v>
      </c>
      <c r="O5" s="24">
        <f>10^3*0.06895*(2*N5*0.065)/(0.84*$C$5)</f>
        <v>170.73333333333335</v>
      </c>
      <c r="P5" s="21">
        <v>16</v>
      </c>
      <c r="Q5" s="24">
        <f>10^3*0.06895*(2*P5*0.065)/(0.84*$C$5)</f>
        <v>170.73333333333335</v>
      </c>
      <c r="R5" s="21">
        <v>15.3</v>
      </c>
      <c r="S5" s="24">
        <f>10^3*0.06895*(2*R5*0.065)/(0.84*$C$5)</f>
        <v>163.26375000000004</v>
      </c>
      <c r="T5" s="21">
        <v>14.6</v>
      </c>
      <c r="U5" s="24">
        <f>10^3*0.06895*(2*T5*0.065)/(0.84*$C$5)</f>
        <v>155.79416666666665</v>
      </c>
      <c r="V5" s="21">
        <v>12.5</v>
      </c>
      <c r="W5" s="24">
        <f>10^3*0.06895*(2*V5*0.065)/(0.84*$C$5)</f>
        <v>133.38541666666669</v>
      </c>
      <c r="X5" s="21">
        <v>10.7</v>
      </c>
      <c r="Y5" s="24">
        <f>10^3*0.06895*(2*X5*0.065)/(0.84*$C$5)</f>
        <v>114.17791666666668</v>
      </c>
      <c r="Z5" s="21">
        <v>9.1999999999999993</v>
      </c>
      <c r="AA5" s="25">
        <f>10^3*0.06895*(2*Z5*0.065)/(0.84*$C$5)</f>
        <v>98.171666666666681</v>
      </c>
    </row>
    <row r="6" spans="1:993" ht="18.75" x14ac:dyDescent="0.3">
      <c r="A6" s="47"/>
      <c r="B6" s="49"/>
      <c r="C6" s="26">
        <v>1</v>
      </c>
      <c r="D6" s="27" t="s">
        <v>19</v>
      </c>
      <c r="E6" s="26">
        <v>10</v>
      </c>
      <c r="F6" s="26">
        <v>0.84</v>
      </c>
      <c r="G6" s="26">
        <v>8.3000000000000004E-2</v>
      </c>
      <c r="H6" s="26">
        <v>16</v>
      </c>
      <c r="I6" s="28">
        <f>10^3*0.06895*(2*H6*0.083)/(0.84*$C$6)</f>
        <v>218.01333333333335</v>
      </c>
      <c r="J6" s="26">
        <v>16</v>
      </c>
      <c r="K6" s="28">
        <f>10^3*0.06895*(2*J6*0.083)/(0.84*$C$6)</f>
        <v>218.01333333333335</v>
      </c>
      <c r="L6" s="26">
        <v>16</v>
      </c>
      <c r="M6" s="28">
        <f>10^3*0.06895*(2*L6*0.083)/(0.84*$C$6)</f>
        <v>218.01333333333335</v>
      </c>
      <c r="N6" s="26">
        <v>16</v>
      </c>
      <c r="O6" s="28">
        <f>10^3*0.06895*(2*N6*0.083)/(0.84*$C$6)</f>
        <v>218.01333333333335</v>
      </c>
      <c r="P6" s="26">
        <v>16</v>
      </c>
      <c r="Q6" s="28">
        <f>10^3*0.06895*(2*P6*0.083)/(0.84*$C$6)</f>
        <v>218.01333333333335</v>
      </c>
      <c r="R6" s="26">
        <v>15.3</v>
      </c>
      <c r="S6" s="28">
        <f>10^3*0.06895*(2*R6*0.083)/(0.84*$C$6)</f>
        <v>208.47525000000002</v>
      </c>
      <c r="T6" s="26">
        <v>14.6</v>
      </c>
      <c r="U6" s="28">
        <f>10^3*0.06895*(2*T6*0.083)/(0.84*$C$6)</f>
        <v>198.93716666666668</v>
      </c>
      <c r="V6" s="26">
        <v>12.5</v>
      </c>
      <c r="W6" s="28">
        <f>10^3*0.06895*(2*V6*0.083)/(0.84*$C$6)</f>
        <v>170.32291666666669</v>
      </c>
      <c r="X6" s="26">
        <v>10.7</v>
      </c>
      <c r="Y6" s="28">
        <f>10^3*0.06895*(2*X6*0.083)/(0.84*$C$6)</f>
        <v>145.79641666666669</v>
      </c>
      <c r="Z6" s="26">
        <v>9.1999999999999993</v>
      </c>
      <c r="AA6" s="29">
        <f>10^3*0.06895*(2*Z6*0.083)/(0.84*$C$6)</f>
        <v>125.35766666666666</v>
      </c>
    </row>
    <row r="7" spans="1:993" ht="18.75" x14ac:dyDescent="0.3">
      <c r="A7" s="47"/>
      <c r="B7" s="49"/>
      <c r="C7" s="26">
        <v>1</v>
      </c>
      <c r="D7" s="27" t="s">
        <v>19</v>
      </c>
      <c r="E7" s="26">
        <v>30</v>
      </c>
      <c r="F7" s="26">
        <v>0.84</v>
      </c>
      <c r="G7" s="26">
        <v>9.5000000000000001E-2</v>
      </c>
      <c r="H7" s="26">
        <v>16</v>
      </c>
      <c r="I7" s="28">
        <f>10^3*0.06895*(2*H7*0.095)/(0.84*$C$7)</f>
        <v>249.53333333333336</v>
      </c>
      <c r="J7" s="26">
        <v>16</v>
      </c>
      <c r="K7" s="28">
        <f>10^3*0.06895*(2*J7*0.095)/(0.84*$C$7)</f>
        <v>249.53333333333336</v>
      </c>
      <c r="L7" s="26">
        <v>16</v>
      </c>
      <c r="M7" s="28">
        <f>10^3*0.06895*(2*L7*0.095)/(0.84*$C$7)</f>
        <v>249.53333333333336</v>
      </c>
      <c r="N7" s="26">
        <v>16</v>
      </c>
      <c r="O7" s="28">
        <f>10^3*0.06895*(2*N7*0.095)/(0.84*$C$7)</f>
        <v>249.53333333333336</v>
      </c>
      <c r="P7" s="26">
        <v>16</v>
      </c>
      <c r="Q7" s="28">
        <f>10^3*0.06895*(2*P7*0.095)/(0.84*$C$7)</f>
        <v>249.53333333333336</v>
      </c>
      <c r="R7" s="26">
        <v>15.3</v>
      </c>
      <c r="S7" s="28">
        <f>10^3*0.06895*(2*R7*0.095)/(0.84*$C$7)</f>
        <v>238.61625000000004</v>
      </c>
      <c r="T7" s="26">
        <v>14.6</v>
      </c>
      <c r="U7" s="28">
        <f>10^3*0.06895*(2*T7*0.095)/(0.84*$C$7)</f>
        <v>227.69916666666668</v>
      </c>
      <c r="V7" s="26">
        <v>12.5</v>
      </c>
      <c r="W7" s="28">
        <f>10^3*0.06895*(2*V7*0.095)/(0.84*$C$7)</f>
        <v>194.94791666666666</v>
      </c>
      <c r="X7" s="26">
        <v>10.7</v>
      </c>
      <c r="Y7" s="28">
        <f>10^3*0.06895*(2*X7*0.095)/(0.84*$C$7)</f>
        <v>166.87541666666669</v>
      </c>
      <c r="Z7" s="26">
        <v>9.1999999999999993</v>
      </c>
      <c r="AA7" s="29">
        <f>10^3*0.06895*(2*Z7*0.095)/(0.84*$C$7)</f>
        <v>143.48166666666665</v>
      </c>
    </row>
    <row r="8" spans="1:993" ht="18.75" x14ac:dyDescent="0.3">
      <c r="A8" s="47"/>
      <c r="B8" s="49"/>
      <c r="C8" s="26">
        <v>1</v>
      </c>
      <c r="D8" s="27" t="s">
        <v>19</v>
      </c>
      <c r="E8" s="26">
        <v>40</v>
      </c>
      <c r="F8" s="26">
        <v>0.84</v>
      </c>
      <c r="G8" s="26">
        <v>0.109</v>
      </c>
      <c r="H8" s="26">
        <v>16</v>
      </c>
      <c r="I8" s="28">
        <f>10^3*0.06895*(2*H8*0.109)/(0.84*$C$8)</f>
        <v>286.30666666666667</v>
      </c>
      <c r="J8" s="26">
        <v>16</v>
      </c>
      <c r="K8" s="28">
        <f>10^3*0.06895*(2*J8*0.109)/(0.84*$C$8)</f>
        <v>286.30666666666667</v>
      </c>
      <c r="L8" s="26">
        <v>16</v>
      </c>
      <c r="M8" s="28">
        <f>10^3*0.06895*(2*L8*0.109)/(0.84*$C$8)</f>
        <v>286.30666666666667</v>
      </c>
      <c r="N8" s="26">
        <v>16</v>
      </c>
      <c r="O8" s="28">
        <f>10^3*0.06895*(2*N8*0.109)/(0.84*$C$8)</f>
        <v>286.30666666666667</v>
      </c>
      <c r="P8" s="26">
        <v>16</v>
      </c>
      <c r="Q8" s="28">
        <f>10^3*0.06895*(2*P8*0.109)/(0.84*$C$8)</f>
        <v>286.30666666666667</v>
      </c>
      <c r="R8" s="26">
        <v>15.3</v>
      </c>
      <c r="S8" s="28">
        <f>10^3*0.06895*(2*R8*0.109)/(0.84*$C$8)</f>
        <v>273.78075000000007</v>
      </c>
      <c r="T8" s="26">
        <v>14.6</v>
      </c>
      <c r="U8" s="28">
        <f>10^3*0.06895*(2*T8*0.109)/(0.84*$C$8)</f>
        <v>261.25483333333335</v>
      </c>
      <c r="V8" s="26">
        <v>12.5</v>
      </c>
      <c r="W8" s="28">
        <f>10^3*0.06895*(2*V8*0.109)/(0.84*$C$8)</f>
        <v>223.67708333333337</v>
      </c>
      <c r="X8" s="26">
        <v>10.7</v>
      </c>
      <c r="Y8" s="28">
        <f>10^3*0.06895*(2*X8*0.109)/(0.84*$C$8)</f>
        <v>191.46758333333332</v>
      </c>
      <c r="Z8" s="26">
        <v>9.1999999999999993</v>
      </c>
      <c r="AA8" s="29">
        <f>10^3*0.06895*(2*Z8*0.109)/(0.84*$C$8)</f>
        <v>164.62633333333332</v>
      </c>
    </row>
    <row r="9" spans="1:993" ht="18.75" x14ac:dyDescent="0.3">
      <c r="A9" s="47"/>
      <c r="B9" s="49"/>
      <c r="C9" s="26">
        <v>1</v>
      </c>
      <c r="D9" s="27" t="s">
        <v>19</v>
      </c>
      <c r="E9" s="26">
        <v>80</v>
      </c>
      <c r="F9" s="26">
        <v>0.84</v>
      </c>
      <c r="G9" s="26">
        <v>0.14699999999999999</v>
      </c>
      <c r="H9" s="26">
        <v>16</v>
      </c>
      <c r="I9" s="28">
        <f>10^3*0.06895*(2*H9*0.147)/(0.84*$C$9)</f>
        <v>386.12</v>
      </c>
      <c r="J9" s="26">
        <v>16</v>
      </c>
      <c r="K9" s="28">
        <f>10^3*0.06895*(2*J9*0.147)/(0.84*$C$9)</f>
        <v>386.12</v>
      </c>
      <c r="L9" s="26">
        <v>16</v>
      </c>
      <c r="M9" s="28">
        <f>10^3*0.06895*(2*L9*0.147)/(0.84*$C$9)</f>
        <v>386.12</v>
      </c>
      <c r="N9" s="26">
        <v>16</v>
      </c>
      <c r="O9" s="28">
        <f>10^3*0.06895*(2*N9*0.147)/(0.84*$C$9)</f>
        <v>386.12</v>
      </c>
      <c r="P9" s="26">
        <v>16</v>
      </c>
      <c r="Q9" s="28">
        <f>10^3*0.06895*(2*P9*0.147)/(0.84*$C$9)</f>
        <v>386.12</v>
      </c>
      <c r="R9" s="26">
        <v>15.3</v>
      </c>
      <c r="S9" s="28">
        <f>10^3*0.06895*(2*R9*0.147)/(0.84*$C$9)</f>
        <v>369.22725000000003</v>
      </c>
      <c r="T9" s="26">
        <v>14.6</v>
      </c>
      <c r="U9" s="28">
        <f>10^3*0.06895*(2*T9*0.147)/(0.84*$C$9)</f>
        <v>352.33450000000005</v>
      </c>
      <c r="V9" s="26">
        <v>12.5</v>
      </c>
      <c r="W9" s="28">
        <f>10^3*0.06895*(2*V9*0.147)/(0.84*$C$9)</f>
        <v>301.65625</v>
      </c>
      <c r="X9" s="26">
        <v>10.7</v>
      </c>
      <c r="Y9" s="28">
        <f>10^3*0.06895*(2*X9*0.147)/(0.84*$C$9)</f>
        <v>258.21774999999997</v>
      </c>
      <c r="Z9" s="26">
        <v>9.1999999999999993</v>
      </c>
      <c r="AA9" s="29">
        <f>10^3*0.06895*(2*Z9*0.147)/(0.84*$C$9)</f>
        <v>222.01900000000001</v>
      </c>
    </row>
    <row r="10" spans="1:993" ht="19.5" thickBot="1" x14ac:dyDescent="0.35">
      <c r="A10" s="47"/>
      <c r="B10" s="50"/>
      <c r="C10" s="30">
        <v>1</v>
      </c>
      <c r="D10" s="31" t="s">
        <v>19</v>
      </c>
      <c r="E10" s="30">
        <v>160</v>
      </c>
      <c r="F10" s="30">
        <v>0.84</v>
      </c>
      <c r="G10" s="30">
        <v>0.188</v>
      </c>
      <c r="H10" s="30">
        <v>16</v>
      </c>
      <c r="I10" s="32">
        <f>10^3*0.06895*(2*H10*0.188)/(0.84*$C$10)</f>
        <v>493.81333333333333</v>
      </c>
      <c r="J10" s="30">
        <v>16</v>
      </c>
      <c r="K10" s="32">
        <f>10^3*0.06895*(2*J10*0.188)/(0.84*$C$10)</f>
        <v>493.81333333333333</v>
      </c>
      <c r="L10" s="30">
        <v>16</v>
      </c>
      <c r="M10" s="32">
        <f>10^3*0.06895*(2*L10*0.188)/(0.84*$C$10)</f>
        <v>493.81333333333333</v>
      </c>
      <c r="N10" s="30">
        <v>16</v>
      </c>
      <c r="O10" s="32">
        <f>10^3*0.06895*(2*N10*0.188)/(0.84*$C$10)</f>
        <v>493.81333333333333</v>
      </c>
      <c r="P10" s="30">
        <v>16</v>
      </c>
      <c r="Q10" s="32">
        <f>10^3*0.06895*(2*P10*0.188)/(0.84*$C$10)</f>
        <v>493.81333333333333</v>
      </c>
      <c r="R10" s="30">
        <v>15.3</v>
      </c>
      <c r="S10" s="32">
        <f>10^3*0.06895*(2*R10*0.188)/(0.84*$C$10)</f>
        <v>472.20900000000006</v>
      </c>
      <c r="T10" s="30">
        <v>14.6</v>
      </c>
      <c r="U10" s="32">
        <f>10^3*0.06895*(2*T10*0.188)/(0.84*$C$10)</f>
        <v>450.60466666666667</v>
      </c>
      <c r="V10" s="30">
        <v>12.5</v>
      </c>
      <c r="W10" s="32">
        <f>10^3*0.06895*(2*V10*0.188)/(0.84*$C$10)</f>
        <v>385.79166666666669</v>
      </c>
      <c r="X10" s="30">
        <v>10.7</v>
      </c>
      <c r="Y10" s="32">
        <f>10^3*0.06895*(2*X10*0.188)/(0.84*$C$10)</f>
        <v>330.23766666666671</v>
      </c>
      <c r="Z10" s="30">
        <v>9.1999999999999993</v>
      </c>
      <c r="AA10" s="33">
        <f>10^3*0.06895*(2*Z10*0.188)/(0.84*$C$10)</f>
        <v>283.94266666666664</v>
      </c>
    </row>
    <row r="11" spans="1:993" ht="18.75" x14ac:dyDescent="0.3">
      <c r="A11" s="47"/>
      <c r="B11" s="48" t="s">
        <v>1</v>
      </c>
      <c r="C11" s="21">
        <v>1</v>
      </c>
      <c r="D11" s="22" t="s">
        <v>19</v>
      </c>
      <c r="E11" s="21">
        <v>5</v>
      </c>
      <c r="F11" s="26">
        <v>0.84</v>
      </c>
      <c r="G11" s="21">
        <v>6.5000000000000002E-2</v>
      </c>
      <c r="H11" s="21">
        <v>20</v>
      </c>
      <c r="I11" s="24">
        <f>10^3*0.06895*(2*H11*0.065)/(0.84*$C$5)</f>
        <v>213.41666666666669</v>
      </c>
      <c r="J11" s="21">
        <v>20</v>
      </c>
      <c r="K11" s="24">
        <f>10^3*0.06895*(2*J11*0.065)/(0.84*$C$5)</f>
        <v>213.41666666666669</v>
      </c>
      <c r="L11" s="21">
        <v>20</v>
      </c>
      <c r="M11" s="24">
        <f>10^3*0.06895*(2*L11*0.065)/(0.84*$C$5)</f>
        <v>213.41666666666669</v>
      </c>
      <c r="N11" s="21">
        <v>19.899999999999999</v>
      </c>
      <c r="O11" s="24">
        <f>10^3*0.06895*(2*N11*0.065)/(0.84*$C$5)</f>
        <v>212.34958333333333</v>
      </c>
      <c r="P11" s="21">
        <v>19</v>
      </c>
      <c r="Q11" s="24">
        <f>10^3*0.06895*(2*P11*0.065)/(0.84*$C$5)</f>
        <v>202.74583333333337</v>
      </c>
      <c r="R11" s="21">
        <v>17.899999999999999</v>
      </c>
      <c r="S11" s="24">
        <f>10^3*0.06895*(2*R11*0.065)/(0.84*$C$5)</f>
        <v>191.00791666666669</v>
      </c>
      <c r="T11" s="21">
        <v>17.3</v>
      </c>
      <c r="U11" s="24">
        <f>10^3*0.06895*(2*T11*0.065)/(0.84*$C$5)</f>
        <v>184.60541666666668</v>
      </c>
      <c r="V11" s="21">
        <v>16.7</v>
      </c>
      <c r="W11" s="24">
        <f>10^3*0.06895*(2*V11*0.065)/(0.84*$C$5)</f>
        <v>178.20291666666668</v>
      </c>
      <c r="X11" s="21">
        <v>13.9</v>
      </c>
      <c r="Y11" s="24">
        <f>10^3*0.06895*(2*X11*0.065)/(0.84*$C$5)</f>
        <v>148.32458333333335</v>
      </c>
      <c r="Z11" s="21">
        <v>11.4</v>
      </c>
      <c r="AA11" s="25">
        <f>10^3*0.06895*(2*Z11*0.065)/(0.84*$C$5)</f>
        <v>121.64750000000004</v>
      </c>
    </row>
    <row r="12" spans="1:993" ht="18.75" x14ac:dyDescent="0.3">
      <c r="A12" s="47"/>
      <c r="B12" s="49"/>
      <c r="C12" s="26">
        <v>1</v>
      </c>
      <c r="D12" s="27" t="s">
        <v>19</v>
      </c>
      <c r="E12" s="26">
        <v>10</v>
      </c>
      <c r="F12" s="26">
        <v>0.84</v>
      </c>
      <c r="G12" s="26">
        <v>8.3000000000000004E-2</v>
      </c>
      <c r="H12" s="26">
        <v>20</v>
      </c>
      <c r="I12" s="28">
        <f>10^3*0.06895*(2*H12*0.083)/(0.84*$C$6)</f>
        <v>272.51666666666671</v>
      </c>
      <c r="J12" s="26">
        <v>20</v>
      </c>
      <c r="K12" s="28">
        <f>10^3*0.06895*(2*J12*0.083)/(0.84*$C$6)</f>
        <v>272.51666666666671</v>
      </c>
      <c r="L12" s="26">
        <v>20</v>
      </c>
      <c r="M12" s="28">
        <f>10^3*0.06895*(2*L12*0.083)/(0.84*$C$6)</f>
        <v>272.51666666666671</v>
      </c>
      <c r="N12" s="26">
        <v>19.899999999999999</v>
      </c>
      <c r="O12" s="28">
        <f>10^3*0.06895*(2*N12*0.083)/(0.84*$C$6)</f>
        <v>271.15408333333335</v>
      </c>
      <c r="P12" s="26">
        <v>19</v>
      </c>
      <c r="Q12" s="28">
        <f>10^3*0.06895*(2*P12*0.083)/(0.84*$C$6)</f>
        <v>258.89083333333338</v>
      </c>
      <c r="R12" s="26">
        <v>17.899999999999999</v>
      </c>
      <c r="S12" s="28">
        <f>10^3*0.06895*(2*R12*0.083)/(0.84*$C$6)</f>
        <v>243.90241666666671</v>
      </c>
      <c r="T12" s="26">
        <v>17.3</v>
      </c>
      <c r="U12" s="28">
        <f>10^3*0.06895*(2*T12*0.083)/(0.84*$C$6)</f>
        <v>235.72691666666674</v>
      </c>
      <c r="V12" s="26">
        <v>16.7</v>
      </c>
      <c r="W12" s="28">
        <f>10^3*0.06895*(2*V12*0.083)/(0.84*$C$6)</f>
        <v>227.55141666666671</v>
      </c>
      <c r="X12" s="26">
        <v>13.9</v>
      </c>
      <c r="Y12" s="28">
        <f>10^3*0.06895*(2*X12*0.083)/(0.84*$C$6)</f>
        <v>189.39908333333338</v>
      </c>
      <c r="Z12" s="26">
        <v>11.4</v>
      </c>
      <c r="AA12" s="29">
        <f>10^3*0.06895*(2*Z12*0.083)/(0.84*$C$6)</f>
        <v>155.33450000000002</v>
      </c>
    </row>
    <row r="13" spans="1:993" ht="18.75" x14ac:dyDescent="0.3">
      <c r="A13" s="47"/>
      <c r="B13" s="49"/>
      <c r="C13" s="26">
        <v>1</v>
      </c>
      <c r="D13" s="27" t="s">
        <v>19</v>
      </c>
      <c r="E13" s="26">
        <v>30</v>
      </c>
      <c r="F13" s="26">
        <v>0.84</v>
      </c>
      <c r="G13" s="26">
        <v>9.5000000000000001E-2</v>
      </c>
      <c r="H13" s="26">
        <v>20</v>
      </c>
      <c r="I13" s="28">
        <f>10^3*0.06895*(2*H13*0.095)/(0.84*$C$7)</f>
        <v>311.91666666666669</v>
      </c>
      <c r="J13" s="26">
        <v>20</v>
      </c>
      <c r="K13" s="28">
        <f>10^3*0.06895*(2*J13*0.095)/(0.84*$C$7)</f>
        <v>311.91666666666669</v>
      </c>
      <c r="L13" s="26">
        <v>20</v>
      </c>
      <c r="M13" s="28">
        <f>10^3*0.06895*(2*L13*0.095)/(0.84*$C$7)</f>
        <v>311.91666666666669</v>
      </c>
      <c r="N13" s="26">
        <v>19.899999999999999</v>
      </c>
      <c r="O13" s="28">
        <f>10^3*0.06895*(2*N13*0.095)/(0.84*$C$7)</f>
        <v>310.35708333333332</v>
      </c>
      <c r="P13" s="26">
        <v>19</v>
      </c>
      <c r="Q13" s="28">
        <f>10^3*0.06895*(2*P13*0.095)/(0.84*$C$7)</f>
        <v>296.32083333333338</v>
      </c>
      <c r="R13" s="26">
        <v>17.899999999999999</v>
      </c>
      <c r="S13" s="28">
        <f>10^3*0.06895*(2*R13*0.095)/(0.84*$C$7)</f>
        <v>279.16541666666666</v>
      </c>
      <c r="T13" s="26">
        <v>17.3</v>
      </c>
      <c r="U13" s="28">
        <f>10^3*0.06895*(2*T13*0.095)/(0.84*$C$7)</f>
        <v>269.8079166666667</v>
      </c>
      <c r="V13" s="26">
        <v>16.7</v>
      </c>
      <c r="W13" s="28">
        <f>10^3*0.06895*(2*V13*0.095)/(0.84*$C$7)</f>
        <v>260.45041666666668</v>
      </c>
      <c r="X13" s="26">
        <v>13.9</v>
      </c>
      <c r="Y13" s="28">
        <f>10^3*0.06895*(2*X13*0.095)/(0.84*$C$7)</f>
        <v>216.78208333333336</v>
      </c>
      <c r="Z13" s="26">
        <v>11.4</v>
      </c>
      <c r="AA13" s="29">
        <f>10^3*0.06895*(2*Z13*0.095)/(0.84*$C$7)</f>
        <v>177.79249999999999</v>
      </c>
    </row>
    <row r="14" spans="1:993" ht="18.75" x14ac:dyDescent="0.3">
      <c r="A14" s="47"/>
      <c r="B14" s="49"/>
      <c r="C14" s="26">
        <v>1</v>
      </c>
      <c r="D14" s="27" t="s">
        <v>19</v>
      </c>
      <c r="E14" s="26">
        <v>40</v>
      </c>
      <c r="F14" s="26">
        <v>0.84</v>
      </c>
      <c r="G14" s="26">
        <v>0.109</v>
      </c>
      <c r="H14" s="26">
        <v>20</v>
      </c>
      <c r="I14" s="28">
        <f>10^3*0.06895*(2*H14*0.109)/(0.84*$C$8)</f>
        <v>357.88333333333338</v>
      </c>
      <c r="J14" s="26">
        <v>20</v>
      </c>
      <c r="K14" s="28">
        <f>10^3*0.06895*(2*J14*0.109)/(0.84*$C$8)</f>
        <v>357.88333333333338</v>
      </c>
      <c r="L14" s="26">
        <v>20</v>
      </c>
      <c r="M14" s="28">
        <f>10^3*0.06895*(2*L14*0.109)/(0.84*$C$8)</f>
        <v>357.88333333333338</v>
      </c>
      <c r="N14" s="26">
        <v>19.899999999999999</v>
      </c>
      <c r="O14" s="28">
        <f>10^3*0.06895*(2*N14*0.109)/(0.84*$C$8)</f>
        <v>356.09391666666664</v>
      </c>
      <c r="P14" s="26">
        <v>19</v>
      </c>
      <c r="Q14" s="28">
        <f>10^3*0.06895*(2*P14*0.109)/(0.84*$C$8)</f>
        <v>339.98916666666673</v>
      </c>
      <c r="R14" s="26">
        <v>17.899999999999999</v>
      </c>
      <c r="S14" s="28">
        <f>10^3*0.06895*(2*R14*0.109)/(0.84*$C$8)</f>
        <v>320.30558333333335</v>
      </c>
      <c r="T14" s="26">
        <v>17.3</v>
      </c>
      <c r="U14" s="28">
        <f>10^3*0.06895*(2*T14*0.109)/(0.84*$C$8)</f>
        <v>309.56908333333342</v>
      </c>
      <c r="V14" s="26">
        <v>16.7</v>
      </c>
      <c r="W14" s="28">
        <f>10^3*0.06895*(2*V14*0.109)/(0.84*$C$8)</f>
        <v>298.83258333333333</v>
      </c>
      <c r="X14" s="26">
        <v>13.9</v>
      </c>
      <c r="Y14" s="28">
        <f>10^3*0.06895*(2*X14*0.109)/(0.84*$C$8)</f>
        <v>248.72891666666669</v>
      </c>
      <c r="Z14" s="26">
        <v>11.4</v>
      </c>
      <c r="AA14" s="29">
        <f>10^3*0.06895*(2*Z14*0.109)/(0.84*$C$8)</f>
        <v>203.99349999999998</v>
      </c>
    </row>
    <row r="15" spans="1:993" ht="18.75" x14ac:dyDescent="0.3">
      <c r="A15" s="47"/>
      <c r="B15" s="49"/>
      <c r="C15" s="26">
        <v>1</v>
      </c>
      <c r="D15" s="27" t="s">
        <v>19</v>
      </c>
      <c r="E15" s="26">
        <v>80</v>
      </c>
      <c r="F15" s="26">
        <v>0.84</v>
      </c>
      <c r="G15" s="26">
        <v>0.14699999999999999</v>
      </c>
      <c r="H15" s="26">
        <v>20</v>
      </c>
      <c r="I15" s="28">
        <f>10^3*0.06895*(2*H15*0.147)/(0.84*$C$9)</f>
        <v>482.65</v>
      </c>
      <c r="J15" s="26">
        <v>20</v>
      </c>
      <c r="K15" s="28">
        <f>10^3*0.06895*(2*J15*0.147)/(0.84*$C$9)</f>
        <v>482.65</v>
      </c>
      <c r="L15" s="26">
        <v>20</v>
      </c>
      <c r="M15" s="28">
        <f>10^3*0.06895*(2*L15*0.147)/(0.84*$C$9)</f>
        <v>482.65</v>
      </c>
      <c r="N15" s="26">
        <v>19.899999999999999</v>
      </c>
      <c r="O15" s="28">
        <f>10^3*0.06895*(2*N15*0.147)/(0.84*$C$9)</f>
        <v>480.23674999999992</v>
      </c>
      <c r="P15" s="26">
        <v>19</v>
      </c>
      <c r="Q15" s="28">
        <f>10^3*0.06895*(2*P15*0.147)/(0.84*$C$9)</f>
        <v>458.51749999999998</v>
      </c>
      <c r="R15" s="26">
        <v>17.899999999999999</v>
      </c>
      <c r="S15" s="28">
        <f>10^3*0.06895*(2*R15*0.147)/(0.84*$C$9)</f>
        <v>431.97174999999993</v>
      </c>
      <c r="T15" s="26">
        <v>17.3</v>
      </c>
      <c r="U15" s="28">
        <f>10^3*0.06895*(2*T15*0.147)/(0.84*$C$9)</f>
        <v>417.49225000000001</v>
      </c>
      <c r="V15" s="26">
        <v>16.7</v>
      </c>
      <c r="W15" s="28">
        <f>10^3*0.06895*(2*V15*0.147)/(0.84*$C$9)</f>
        <v>403.01275000000004</v>
      </c>
      <c r="X15" s="26">
        <v>13.9</v>
      </c>
      <c r="Y15" s="28">
        <f>10^3*0.06895*(2*X15*0.147)/(0.84*$C$9)</f>
        <v>335.44175000000001</v>
      </c>
      <c r="Z15" s="26">
        <v>11.4</v>
      </c>
      <c r="AA15" s="29">
        <f>10^3*0.06895*(2*Z15*0.147)/(0.84*$C$9)</f>
        <v>275.11050000000006</v>
      </c>
    </row>
    <row r="16" spans="1:993" ht="19.5" thickBot="1" x14ac:dyDescent="0.35">
      <c r="A16" s="47"/>
      <c r="B16" s="50"/>
      <c r="C16" s="30">
        <v>1</v>
      </c>
      <c r="D16" s="31" t="s">
        <v>19</v>
      </c>
      <c r="E16" s="30">
        <v>160</v>
      </c>
      <c r="F16" s="30">
        <v>0.84</v>
      </c>
      <c r="G16" s="30">
        <v>0.188</v>
      </c>
      <c r="H16" s="30">
        <v>20</v>
      </c>
      <c r="I16" s="32">
        <f>10^3*0.06895*(2*H16*0.188)/(0.84*$C$10)</f>
        <v>617.26666666666677</v>
      </c>
      <c r="J16" s="30">
        <v>20</v>
      </c>
      <c r="K16" s="32">
        <f>10^3*0.06895*(2*J16*0.188)/(0.84*$C$10)</f>
        <v>617.26666666666677</v>
      </c>
      <c r="L16" s="30">
        <v>20</v>
      </c>
      <c r="M16" s="32">
        <f>10^3*0.06895*(2*L16*0.188)/(0.84*$C$10)</f>
        <v>617.26666666666677</v>
      </c>
      <c r="N16" s="30">
        <v>19.899999999999999</v>
      </c>
      <c r="O16" s="32">
        <f>10^3*0.06895*(2*N16*0.188)/(0.84*$C$10)</f>
        <v>614.18033333333335</v>
      </c>
      <c r="P16" s="30">
        <v>19</v>
      </c>
      <c r="Q16" s="32">
        <f>10^3*0.06895*(2*P16*0.188)/(0.84*$C$10)</f>
        <v>586.40333333333331</v>
      </c>
      <c r="R16" s="30">
        <v>17.899999999999999</v>
      </c>
      <c r="S16" s="32">
        <f>10^3*0.06895*(2*R16*0.188)/(0.84*$C$10)</f>
        <v>552.45366666666666</v>
      </c>
      <c r="T16" s="30">
        <v>17.3</v>
      </c>
      <c r="U16" s="32">
        <f>10^3*0.06895*(2*T16*0.188)/(0.84*$C$10)</f>
        <v>533.93566666666675</v>
      </c>
      <c r="V16" s="30">
        <v>16.7</v>
      </c>
      <c r="W16" s="32">
        <f>10^3*0.06895*(2*V16*0.188)/(0.84*$C$10)</f>
        <v>515.41766666666661</v>
      </c>
      <c r="X16" s="30">
        <v>13.9</v>
      </c>
      <c r="Y16" s="32">
        <f>10^3*0.06895*(2*X16*0.188)/(0.84*$C$10)</f>
        <v>429.00033333333334</v>
      </c>
      <c r="Z16" s="30">
        <v>11.4</v>
      </c>
      <c r="AA16" s="33">
        <f>10^3*0.06895*(2*Z16*0.188)/(0.84*$C$10)</f>
        <v>351.8420000000001</v>
      </c>
    </row>
    <row r="17" spans="1:27" ht="18.75" x14ac:dyDescent="0.3">
      <c r="A17" s="47"/>
      <c r="B17" s="51" t="s">
        <v>6</v>
      </c>
      <c r="C17" s="34">
        <v>1</v>
      </c>
      <c r="D17" s="22" t="s">
        <v>19</v>
      </c>
      <c r="E17" s="21">
        <v>5</v>
      </c>
      <c r="F17" s="26">
        <v>0.84</v>
      </c>
      <c r="G17" s="21">
        <v>6.5000000000000002E-2</v>
      </c>
      <c r="H17" s="34">
        <v>23.3</v>
      </c>
      <c r="I17" s="24">
        <f>10^3*0.06895*(2*H17*0.065)/(0.84*$C$5)</f>
        <v>248.63041666666669</v>
      </c>
      <c r="J17" s="34">
        <v>23.3</v>
      </c>
      <c r="K17" s="24">
        <f>10^3*0.06895*(2*J17*0.065)/(0.84*$C$5)</f>
        <v>248.63041666666669</v>
      </c>
      <c r="L17" s="34">
        <v>23.3</v>
      </c>
      <c r="M17" s="24">
        <f>10^3*0.06895*(2*L17*0.065)/(0.84*$C$5)</f>
        <v>248.63041666666669</v>
      </c>
      <c r="N17" s="34">
        <v>22.8</v>
      </c>
      <c r="O17" s="24">
        <f>10^3*0.06895*(2*N17*0.065)/(0.84*$C$5)</f>
        <v>243.29500000000007</v>
      </c>
      <c r="P17" s="34">
        <v>21.7</v>
      </c>
      <c r="Q17" s="24">
        <f>10^3*0.06895*(2*P17*0.065)/(0.84*$C$5)</f>
        <v>231.55708333333337</v>
      </c>
      <c r="R17" s="34">
        <v>20.399999999999999</v>
      </c>
      <c r="S17" s="24">
        <f>10^3*0.06895*(2*R17*0.065)/(0.84*$C$5)</f>
        <v>217.68499999999997</v>
      </c>
      <c r="T17" s="34">
        <v>19.8</v>
      </c>
      <c r="U17" s="24">
        <f>10^3*0.06895*(2*T17*0.065)/(0.84*$C$5)</f>
        <v>211.28250000000003</v>
      </c>
      <c r="V17" s="34">
        <v>18.3</v>
      </c>
      <c r="W17" s="24">
        <f>10^3*0.06895*(2*V17*0.065)/(0.84*$C$5)</f>
        <v>195.27625</v>
      </c>
      <c r="X17" s="34">
        <v>14.8</v>
      </c>
      <c r="Y17" s="24">
        <f>10^3*0.06895*(2*X17*0.065)/(0.84*$C$5)</f>
        <v>157.92833333333337</v>
      </c>
      <c r="Z17" s="34">
        <v>12</v>
      </c>
      <c r="AA17" s="25">
        <f>10^3*0.06895*(2*Z17*0.065)/(0.84*$C$5)</f>
        <v>128.05000000000001</v>
      </c>
    </row>
    <row r="18" spans="1:27" ht="18.75" x14ac:dyDescent="0.3">
      <c r="A18" s="47"/>
      <c r="B18" s="52"/>
      <c r="C18" s="35">
        <v>1</v>
      </c>
      <c r="D18" s="27" t="s">
        <v>19</v>
      </c>
      <c r="E18" s="26">
        <v>10</v>
      </c>
      <c r="F18" s="26">
        <v>0.84</v>
      </c>
      <c r="G18" s="26">
        <v>8.3000000000000004E-2</v>
      </c>
      <c r="H18" s="35">
        <v>23.3</v>
      </c>
      <c r="I18" s="28">
        <f>10^3*0.06895*(2*H18*0.083)/(0.84*$C$6)</f>
        <v>317.48191666666673</v>
      </c>
      <c r="J18" s="35">
        <v>23.3</v>
      </c>
      <c r="K18" s="28">
        <f>10^3*0.06895*(2*J18*0.083)/(0.84*$C$6)</f>
        <v>317.48191666666673</v>
      </c>
      <c r="L18" s="35">
        <v>23.3</v>
      </c>
      <c r="M18" s="28">
        <f>10^3*0.06895*(2*L18*0.083)/(0.84*$C$6)</f>
        <v>317.48191666666673</v>
      </c>
      <c r="N18" s="35">
        <v>22.8</v>
      </c>
      <c r="O18" s="28">
        <f>10^3*0.06895*(2*N18*0.083)/(0.84*$C$6)</f>
        <v>310.66900000000004</v>
      </c>
      <c r="P18" s="35">
        <v>21.7</v>
      </c>
      <c r="Q18" s="28">
        <f>10^3*0.06895*(2*P18*0.083)/(0.84*$C$6)</f>
        <v>295.6805833333334</v>
      </c>
      <c r="R18" s="35">
        <v>20.399999999999999</v>
      </c>
      <c r="S18" s="28">
        <f>10^3*0.06895*(2*R18*0.083)/(0.84*$C$6)</f>
        <v>277.96700000000004</v>
      </c>
      <c r="T18" s="35">
        <v>19.8</v>
      </c>
      <c r="U18" s="28">
        <f>10^3*0.06895*(2*T18*0.083)/(0.84*$C$6)</f>
        <v>269.79150000000004</v>
      </c>
      <c r="V18" s="35">
        <v>18.3</v>
      </c>
      <c r="W18" s="28">
        <f>10^3*0.06895*(2*V18*0.083)/(0.84*$C$6)</f>
        <v>249.35275000000004</v>
      </c>
      <c r="X18" s="35">
        <v>14.8</v>
      </c>
      <c r="Y18" s="28">
        <f>10^3*0.06895*(2*X18*0.083)/(0.84*$C$6)</f>
        <v>201.66233333333335</v>
      </c>
      <c r="Z18" s="35">
        <v>12</v>
      </c>
      <c r="AA18" s="29">
        <f>10^3*0.06895*(2*Z18*0.083)/(0.84*$C$6)</f>
        <v>163.51</v>
      </c>
    </row>
    <row r="19" spans="1:27" ht="18.75" x14ac:dyDescent="0.3">
      <c r="A19" s="47"/>
      <c r="B19" s="52"/>
      <c r="C19" s="35">
        <v>1</v>
      </c>
      <c r="D19" s="27" t="s">
        <v>19</v>
      </c>
      <c r="E19" s="26">
        <v>30</v>
      </c>
      <c r="F19" s="26">
        <v>0.84</v>
      </c>
      <c r="G19" s="26">
        <v>9.5000000000000001E-2</v>
      </c>
      <c r="H19" s="35">
        <v>23.3</v>
      </c>
      <c r="I19" s="28">
        <f>10^3*0.06895*(2*H19*0.095)/(0.84*$C$7)</f>
        <v>363.38291666666674</v>
      </c>
      <c r="J19" s="35">
        <v>23.3</v>
      </c>
      <c r="K19" s="28">
        <f>10^3*0.06895*(2*J19*0.095)/(0.84*$C$7)</f>
        <v>363.38291666666674</v>
      </c>
      <c r="L19" s="35">
        <v>23.3</v>
      </c>
      <c r="M19" s="28">
        <f>10^3*0.06895*(2*L19*0.095)/(0.84*$C$7)</f>
        <v>363.38291666666674</v>
      </c>
      <c r="N19" s="35">
        <v>22.8</v>
      </c>
      <c r="O19" s="28">
        <f>10^3*0.06895*(2*N19*0.095)/(0.84*$C$7)</f>
        <v>355.58499999999998</v>
      </c>
      <c r="P19" s="35">
        <v>21.7</v>
      </c>
      <c r="Q19" s="28">
        <f>10^3*0.06895*(2*P19*0.095)/(0.84*$C$7)</f>
        <v>338.42958333333343</v>
      </c>
      <c r="R19" s="35">
        <v>20.399999999999999</v>
      </c>
      <c r="S19" s="28">
        <f>10^3*0.06895*(2*R19*0.095)/(0.84*$C$7)</f>
        <v>318.15500000000003</v>
      </c>
      <c r="T19" s="35">
        <v>19.8</v>
      </c>
      <c r="U19" s="28">
        <f>10^3*0.06895*(2*T19*0.095)/(0.84*$C$7)</f>
        <v>308.79750000000001</v>
      </c>
      <c r="V19" s="35">
        <v>18.3</v>
      </c>
      <c r="W19" s="28">
        <f>10^3*0.06895*(2*V19*0.095)/(0.84*$C$7)</f>
        <v>285.40375000000006</v>
      </c>
      <c r="X19" s="35">
        <v>14.8</v>
      </c>
      <c r="Y19" s="28">
        <f>10^3*0.06895*(2*X19*0.095)/(0.84*$C$7)</f>
        <v>230.81833333333336</v>
      </c>
      <c r="Z19" s="35">
        <v>12</v>
      </c>
      <c r="AA19" s="29">
        <f>10^3*0.06895*(2*Z19*0.095)/(0.84*$C$7)</f>
        <v>187.15000000000003</v>
      </c>
    </row>
    <row r="20" spans="1:27" ht="18.75" x14ac:dyDescent="0.3">
      <c r="A20" s="47"/>
      <c r="B20" s="52"/>
      <c r="C20" s="35">
        <v>1</v>
      </c>
      <c r="D20" s="27" t="s">
        <v>19</v>
      </c>
      <c r="E20" s="26">
        <v>40</v>
      </c>
      <c r="F20" s="26">
        <v>0.84</v>
      </c>
      <c r="G20" s="26">
        <v>0.109</v>
      </c>
      <c r="H20" s="35">
        <v>23.3</v>
      </c>
      <c r="I20" s="28">
        <f>10^3*0.06895*(2*H20*0.109)/(0.84*$C$8)</f>
        <v>416.93408333333343</v>
      </c>
      <c r="J20" s="35">
        <v>23.3</v>
      </c>
      <c r="K20" s="28">
        <f>10^3*0.06895*(2*J20*0.109)/(0.84*$C$8)</f>
        <v>416.93408333333343</v>
      </c>
      <c r="L20" s="35">
        <v>23.3</v>
      </c>
      <c r="M20" s="28">
        <f>10^3*0.06895*(2*L20*0.109)/(0.84*$C$8)</f>
        <v>416.93408333333343</v>
      </c>
      <c r="N20" s="35">
        <v>22.8</v>
      </c>
      <c r="O20" s="28">
        <f>10^3*0.06895*(2*N20*0.109)/(0.84*$C$8)</f>
        <v>407.98699999999997</v>
      </c>
      <c r="P20" s="35">
        <v>21.7</v>
      </c>
      <c r="Q20" s="28">
        <f>10^3*0.06895*(2*P20*0.109)/(0.84*$C$8)</f>
        <v>388.30341666666669</v>
      </c>
      <c r="R20" s="35">
        <v>20.399999999999999</v>
      </c>
      <c r="S20" s="28">
        <f>10^3*0.06895*(2*R20*0.109)/(0.84*$C$8)</f>
        <v>365.041</v>
      </c>
      <c r="T20" s="35">
        <v>19.8</v>
      </c>
      <c r="U20" s="28">
        <f>10^3*0.06895*(2*T20*0.109)/(0.84*$C$8)</f>
        <v>354.30449999999996</v>
      </c>
      <c r="V20" s="35">
        <v>18.3</v>
      </c>
      <c r="W20" s="28">
        <f>10^3*0.06895*(2*V20*0.109)/(0.84*$C$8)</f>
        <v>327.46325000000007</v>
      </c>
      <c r="X20" s="35">
        <v>14.8</v>
      </c>
      <c r="Y20" s="28">
        <f>10^3*0.06895*(2*X20*0.109)/(0.84*$C$8)</f>
        <v>264.83366666666672</v>
      </c>
      <c r="Z20" s="35">
        <v>12</v>
      </c>
      <c r="AA20" s="29">
        <f>10^3*0.06895*(2*Z20*0.109)/(0.84*$C$8)</f>
        <v>214.73000000000005</v>
      </c>
    </row>
    <row r="21" spans="1:27" ht="18.75" x14ac:dyDescent="0.3">
      <c r="A21" s="47"/>
      <c r="B21" s="52"/>
      <c r="C21" s="35">
        <v>1</v>
      </c>
      <c r="D21" s="27" t="s">
        <v>19</v>
      </c>
      <c r="E21" s="26">
        <v>80</v>
      </c>
      <c r="F21" s="26">
        <v>0.84</v>
      </c>
      <c r="G21" s="26">
        <v>0.14699999999999999</v>
      </c>
      <c r="H21" s="35">
        <v>23.3</v>
      </c>
      <c r="I21" s="28">
        <f>10^3*0.06895*(2*H21*0.147)/(0.84*$C$9)</f>
        <v>562.28725000000009</v>
      </c>
      <c r="J21" s="35">
        <v>23.3</v>
      </c>
      <c r="K21" s="28">
        <f>10^3*0.06895*(2*J21*0.147)/(0.84*$C$9)</f>
        <v>562.28725000000009</v>
      </c>
      <c r="L21" s="35">
        <v>23.3</v>
      </c>
      <c r="M21" s="28">
        <f>10^3*0.06895*(2*L21*0.147)/(0.84*$C$9)</f>
        <v>562.28725000000009</v>
      </c>
      <c r="N21" s="35">
        <v>22.8</v>
      </c>
      <c r="O21" s="28">
        <f>10^3*0.06895*(2*N21*0.147)/(0.84*$C$9)</f>
        <v>550.22100000000012</v>
      </c>
      <c r="P21" s="35">
        <v>21.7</v>
      </c>
      <c r="Q21" s="28">
        <f>10^3*0.06895*(2*P21*0.147)/(0.84*$C$9)</f>
        <v>523.67525000000001</v>
      </c>
      <c r="R21" s="35">
        <v>20.399999999999999</v>
      </c>
      <c r="S21" s="28">
        <f>10^3*0.06895*(2*R21*0.147)/(0.84*$C$9)</f>
        <v>492.303</v>
      </c>
      <c r="T21" s="35">
        <v>19.8</v>
      </c>
      <c r="U21" s="28">
        <f>10^3*0.06895*(2*T21*0.147)/(0.84*$C$9)</f>
        <v>477.82350000000008</v>
      </c>
      <c r="V21" s="35">
        <v>18.3</v>
      </c>
      <c r="W21" s="28">
        <f>10^3*0.06895*(2*V21*0.147)/(0.84*$C$9)</f>
        <v>441.62475000000006</v>
      </c>
      <c r="X21" s="35">
        <v>14.8</v>
      </c>
      <c r="Y21" s="28">
        <f>10^3*0.06895*(2*X21*0.147)/(0.84*$C$9)</f>
        <v>357.16100000000012</v>
      </c>
      <c r="Z21" s="35">
        <v>12</v>
      </c>
      <c r="AA21" s="29">
        <f>10^3*0.06895*(2*Z21*0.147)/(0.84*$C$9)</f>
        <v>289.58999999999997</v>
      </c>
    </row>
    <row r="22" spans="1:27" ht="19.5" thickBot="1" x14ac:dyDescent="0.35">
      <c r="A22" s="47"/>
      <c r="B22" s="53"/>
      <c r="C22" s="36">
        <v>1</v>
      </c>
      <c r="D22" s="31" t="s">
        <v>19</v>
      </c>
      <c r="E22" s="30">
        <v>160</v>
      </c>
      <c r="F22" s="30">
        <v>0.84</v>
      </c>
      <c r="G22" s="30">
        <v>0.188</v>
      </c>
      <c r="H22" s="36">
        <v>23.3</v>
      </c>
      <c r="I22" s="32">
        <f>10^3*0.06895*(2*H22*0.188)/(0.84*$C$10)</f>
        <v>719.11566666666658</v>
      </c>
      <c r="J22" s="36">
        <v>23.3</v>
      </c>
      <c r="K22" s="32">
        <f>10^3*0.06895*(2*J22*0.188)/(0.84*$C$10)</f>
        <v>719.11566666666658</v>
      </c>
      <c r="L22" s="36">
        <v>23.3</v>
      </c>
      <c r="M22" s="32">
        <f>10^3*0.06895*(2*L22*0.188)/(0.84*$C$10)</f>
        <v>719.11566666666658</v>
      </c>
      <c r="N22" s="36">
        <v>22.8</v>
      </c>
      <c r="O22" s="32">
        <f>10^3*0.06895*(2*N22*0.188)/(0.84*$C$10)</f>
        <v>703.6840000000002</v>
      </c>
      <c r="P22" s="36">
        <v>21.7</v>
      </c>
      <c r="Q22" s="32">
        <f>10^3*0.06895*(2*P22*0.188)/(0.84*$C$10)</f>
        <v>669.73433333333344</v>
      </c>
      <c r="R22" s="36">
        <v>20.399999999999999</v>
      </c>
      <c r="S22" s="32">
        <f>10^3*0.06895*(2*R22*0.188)/(0.84*$C$10)</f>
        <v>629.61200000000008</v>
      </c>
      <c r="T22" s="36">
        <v>19.8</v>
      </c>
      <c r="U22" s="32">
        <f>10^3*0.06895*(2*T22*0.188)/(0.84*$C$10)</f>
        <v>611.09400000000005</v>
      </c>
      <c r="V22" s="36">
        <v>18.3</v>
      </c>
      <c r="W22" s="32">
        <f>10^3*0.06895*(2*V22*0.188)/(0.84*$C$10)</f>
        <v>564.79900000000009</v>
      </c>
      <c r="X22" s="36">
        <v>14.8</v>
      </c>
      <c r="Y22" s="32">
        <f>10^3*0.06895*(2*X22*0.188)/(0.84*$C$10)</f>
        <v>456.77733333333339</v>
      </c>
      <c r="Z22" s="36">
        <v>12</v>
      </c>
      <c r="AA22" s="33">
        <f>10^3*0.06895*(2*Z22*0.188)/(0.84*$C$10)</f>
        <v>370.36000000000007</v>
      </c>
    </row>
    <row r="23" spans="1:27" ht="18.75" x14ac:dyDescent="0.25">
      <c r="A23" s="47" t="s">
        <v>5</v>
      </c>
      <c r="B23" s="48" t="s">
        <v>2</v>
      </c>
      <c r="C23" s="21">
        <v>1</v>
      </c>
      <c r="D23" s="21">
        <v>1</v>
      </c>
      <c r="E23" s="21">
        <v>5</v>
      </c>
      <c r="F23" s="23">
        <v>1.3149999999999999</v>
      </c>
      <c r="G23" s="21">
        <v>6.5000000000000002E-2</v>
      </c>
      <c r="H23" s="21">
        <v>16</v>
      </c>
      <c r="I23" s="37">
        <f>10^3*0.06895*(2*H23*0.065)/(1.315*C23)</f>
        <v>109.0615969581749</v>
      </c>
      <c r="J23" s="21">
        <v>16</v>
      </c>
      <c r="K23" s="37">
        <f>10^3*0.06895*(2*J23*0.065)/(1.315*C23)</f>
        <v>109.0615969581749</v>
      </c>
      <c r="L23" s="21">
        <v>16</v>
      </c>
      <c r="M23" s="37">
        <f>10^3*0.06895*(2*L23*0.065)/(1.315*C23)</f>
        <v>109.0615969581749</v>
      </c>
      <c r="N23" s="21">
        <v>16</v>
      </c>
      <c r="O23" s="37">
        <f>10^3*0.06895*(2*N23*0.065)/(1.315*$C$23)</f>
        <v>109.0615969581749</v>
      </c>
      <c r="P23" s="21">
        <v>16</v>
      </c>
      <c r="Q23" s="37">
        <f>10^3*0.06895*(2*P23*0.065)/(1.315*$C$23)</f>
        <v>109.0615969581749</v>
      </c>
      <c r="R23" s="21">
        <v>15.3</v>
      </c>
      <c r="S23" s="37">
        <f>10^3*0.06895*(2*R23*0.065)/(1.315*$C$23)</f>
        <v>104.29015209125477</v>
      </c>
      <c r="T23" s="21">
        <v>14.6</v>
      </c>
      <c r="U23" s="37">
        <f>10^3*0.06895*(2*T23*0.065)/(1.315*$C$23)</f>
        <v>99.518707224334605</v>
      </c>
      <c r="V23" s="21">
        <v>12.5</v>
      </c>
      <c r="W23" s="37">
        <f>10^3*0.06895*(2*V23*0.065)/(1.315*$C$23)</f>
        <v>85.204372623574145</v>
      </c>
      <c r="X23" s="21">
        <v>10.7</v>
      </c>
      <c r="Y23" s="37">
        <f>10^3*0.06895*(2*X23*0.065)/(1.315*$C$23)</f>
        <v>72.93494296577947</v>
      </c>
      <c r="Z23" s="21">
        <v>9.1999999999999993</v>
      </c>
      <c r="AA23" s="38">
        <f>10^3*0.06895*(2*Z23*0.065)/(1.315*$C$23)</f>
        <v>62.710418250950575</v>
      </c>
    </row>
    <row r="24" spans="1:27" ht="18.75" x14ac:dyDescent="0.25">
      <c r="A24" s="47"/>
      <c r="B24" s="49"/>
      <c r="C24" s="26">
        <v>1</v>
      </c>
      <c r="D24" s="26">
        <v>1</v>
      </c>
      <c r="E24" s="26">
        <v>10</v>
      </c>
      <c r="F24" s="26">
        <v>1.3149999999999999</v>
      </c>
      <c r="G24" s="26">
        <v>0.109</v>
      </c>
      <c r="H24" s="26">
        <v>16</v>
      </c>
      <c r="I24" s="39">
        <f>10^3*0.06895*(2*H24*0.109)/(1.315*C24)</f>
        <v>182.88790874524716</v>
      </c>
      <c r="J24" s="26">
        <v>16</v>
      </c>
      <c r="K24" s="39">
        <f>10^3*0.06895*(2*J24*0.109)/(1.315*C24)</f>
        <v>182.88790874524716</v>
      </c>
      <c r="L24" s="26">
        <v>16</v>
      </c>
      <c r="M24" s="39">
        <f>10^3*0.06895*(2*L24*0.109)/(1.315*C24)</f>
        <v>182.88790874524716</v>
      </c>
      <c r="N24" s="26">
        <v>16</v>
      </c>
      <c r="O24" s="39">
        <f>10^3*0.06895*(2*N24*0.109)/(1.315*$C$24)</f>
        <v>182.88790874524716</v>
      </c>
      <c r="P24" s="26">
        <v>16</v>
      </c>
      <c r="Q24" s="39">
        <f>10^3*0.06895*(2*P24*0.109)/(1.315*$C$24)</f>
        <v>182.88790874524716</v>
      </c>
      <c r="R24" s="26">
        <v>15.3</v>
      </c>
      <c r="S24" s="39">
        <f>10^3*0.06895*(2*R24*0.109)/(1.315*$C$24)</f>
        <v>174.88656273764261</v>
      </c>
      <c r="T24" s="26">
        <v>14.6</v>
      </c>
      <c r="U24" s="39">
        <f>10^3*0.06895*(2*T24*0.109)/(1.315*$C$24)</f>
        <v>166.88521673003802</v>
      </c>
      <c r="V24" s="26">
        <v>12.5</v>
      </c>
      <c r="W24" s="39">
        <f>10^3*0.06895*(2*V24*0.109)/(1.315*$C$24)</f>
        <v>142.88117870722436</v>
      </c>
      <c r="X24" s="26">
        <v>10.7</v>
      </c>
      <c r="Y24" s="39">
        <f>10^3*0.06895*(2*X24*0.109)/(1.315*$C$24)</f>
        <v>122.30628897338403</v>
      </c>
      <c r="Z24" s="26">
        <v>9.1999999999999993</v>
      </c>
      <c r="AA24" s="40">
        <f>10^3*0.06895*(2*Z24*0.109)/(1.315*$C$24)</f>
        <v>105.1605475285171</v>
      </c>
    </row>
    <row r="25" spans="1:27" ht="18.75" x14ac:dyDescent="0.25">
      <c r="A25" s="47"/>
      <c r="B25" s="49"/>
      <c r="C25" s="26">
        <v>1</v>
      </c>
      <c r="D25" s="26">
        <v>1</v>
      </c>
      <c r="E25" s="26">
        <v>30</v>
      </c>
      <c r="F25" s="26">
        <v>1.3149999999999999</v>
      </c>
      <c r="G25" s="26">
        <v>0.114</v>
      </c>
      <c r="H25" s="26">
        <v>16</v>
      </c>
      <c r="I25" s="39">
        <f>10^3*0.06895*(2*H25*0.114)/(1.315*C25)</f>
        <v>191.27726235741446</v>
      </c>
      <c r="J25" s="26">
        <v>16</v>
      </c>
      <c r="K25" s="39">
        <f>10^3*0.06895*(2*J25*0.114)/(1.315*C25)</f>
        <v>191.27726235741446</v>
      </c>
      <c r="L25" s="26">
        <v>16</v>
      </c>
      <c r="M25" s="39">
        <f>10^3*0.06895*(2*L25*0.114)/(1.315*C25)</f>
        <v>191.27726235741446</v>
      </c>
      <c r="N25" s="26">
        <v>16</v>
      </c>
      <c r="O25" s="39">
        <f>10^3*0.06895*(2*N25*0.114)/(1.315*$C$25)</f>
        <v>191.27726235741446</v>
      </c>
      <c r="P25" s="26">
        <v>16</v>
      </c>
      <c r="Q25" s="39">
        <f>10^3*0.06895*(2*P25*0.114)/(1.315*$C$25)</f>
        <v>191.27726235741446</v>
      </c>
      <c r="R25" s="26">
        <v>15.3</v>
      </c>
      <c r="S25" s="39">
        <f>10^3*0.06895*(2*R25*0.114)/(1.315*$C$25)</f>
        <v>182.9088821292776</v>
      </c>
      <c r="T25" s="26">
        <v>14.6</v>
      </c>
      <c r="U25" s="39">
        <f>10^3*0.06895*(2*T25*0.114)/(1.315*$C$25)</f>
        <v>174.54050190114071</v>
      </c>
      <c r="V25" s="26">
        <v>12.5</v>
      </c>
      <c r="W25" s="39">
        <f>10^3*0.06895*(2*V25*0.114)/(1.315*$C$25)</f>
        <v>149.43536121673006</v>
      </c>
      <c r="X25" s="26">
        <v>10.7</v>
      </c>
      <c r="Y25" s="39">
        <f>10^3*0.06895*(2*X25*0.114)/(1.315*$C$25)</f>
        <v>127.91666920152092</v>
      </c>
      <c r="Z25" s="26">
        <v>9.1999999999999993</v>
      </c>
      <c r="AA25" s="40">
        <f>10^3*0.06895*(2*Z25*0.114)/(1.315*$C$25)</f>
        <v>109.98442585551332</v>
      </c>
    </row>
    <row r="26" spans="1:27" ht="18.75" x14ac:dyDescent="0.25">
      <c r="A26" s="47"/>
      <c r="B26" s="49"/>
      <c r="C26" s="26">
        <v>1</v>
      </c>
      <c r="D26" s="26">
        <v>1</v>
      </c>
      <c r="E26" s="26">
        <v>40</v>
      </c>
      <c r="F26" s="26">
        <v>1.3149999999999999</v>
      </c>
      <c r="G26" s="26">
        <v>0.13300000000000001</v>
      </c>
      <c r="H26" s="26">
        <v>16</v>
      </c>
      <c r="I26" s="39">
        <f>10^3*0.06895*(2*H26*0.133)/(1.315*C26)</f>
        <v>223.15680608365022</v>
      </c>
      <c r="J26" s="26">
        <v>16</v>
      </c>
      <c r="K26" s="39">
        <f>10^3*0.06895*(2*J26*0.133)/(1.315*C26)</f>
        <v>223.15680608365022</v>
      </c>
      <c r="L26" s="26">
        <v>16</v>
      </c>
      <c r="M26" s="39">
        <f>10^3*0.06895*(2*L26*0.133)/(1.315*C26)</f>
        <v>223.15680608365022</v>
      </c>
      <c r="N26" s="26">
        <v>16</v>
      </c>
      <c r="O26" s="39">
        <f>10^3*0.06895*(2*N26*0.133)/(1.315*$C$26)</f>
        <v>223.15680608365022</v>
      </c>
      <c r="P26" s="26">
        <v>16</v>
      </c>
      <c r="Q26" s="39">
        <f>10^3*0.06895*(2*P26*0.133)/(1.315*$C$26)</f>
        <v>223.15680608365022</v>
      </c>
      <c r="R26" s="26">
        <v>15.3</v>
      </c>
      <c r="S26" s="39">
        <f>10^3*0.06895*(2*R26*0.133)/(1.315*$C$26)</f>
        <v>213.39369581749054</v>
      </c>
      <c r="T26" s="26">
        <v>14.6</v>
      </c>
      <c r="U26" s="39">
        <f>10^3*0.06895*(2*T26*0.133)/(1.315*$C$26)</f>
        <v>203.63058555133082</v>
      </c>
      <c r="V26" s="26">
        <v>12.5</v>
      </c>
      <c r="W26" s="39">
        <f>10^3*0.06895*(2*V26*0.133)/(1.315*$C$26)</f>
        <v>174.34125475285174</v>
      </c>
      <c r="X26" s="26">
        <v>10.7</v>
      </c>
      <c r="Y26" s="39">
        <f>10^3*0.06895*(2*X26*0.133)/(1.315*$C$26)</f>
        <v>149.23611406844108</v>
      </c>
      <c r="Z26" s="26">
        <v>9.1999999999999993</v>
      </c>
      <c r="AA26" s="40">
        <f>10^3*0.06895*(2*Z26*0.133)/(1.315*$C$26)</f>
        <v>128.31516349809888</v>
      </c>
    </row>
    <row r="27" spans="1:27" ht="18.75" x14ac:dyDescent="0.25">
      <c r="A27" s="47"/>
      <c r="B27" s="49"/>
      <c r="C27" s="26">
        <v>1</v>
      </c>
      <c r="D27" s="26">
        <v>1</v>
      </c>
      <c r="E27" s="26">
        <v>80</v>
      </c>
      <c r="F27" s="26">
        <v>1.3149999999999999</v>
      </c>
      <c r="G27" s="26">
        <v>0.17899999999999999</v>
      </c>
      <c r="H27" s="26">
        <v>16</v>
      </c>
      <c r="I27" s="39">
        <f>10^3*0.06895*(2*H27*0.179)/(1.315*C27)</f>
        <v>300.33885931558939</v>
      </c>
      <c r="J27" s="26">
        <v>16</v>
      </c>
      <c r="K27" s="39">
        <f>10^3*0.06895*(2*J27*0.179)/(1.315*C27)</f>
        <v>300.33885931558939</v>
      </c>
      <c r="L27" s="26">
        <v>16</v>
      </c>
      <c r="M27" s="39">
        <f>10^3*0.06895*(2*L27*0.179)/(1.315*C27)</f>
        <v>300.33885931558939</v>
      </c>
      <c r="N27" s="26">
        <v>16</v>
      </c>
      <c r="O27" s="39">
        <f>10^3*0.06895*(2*N27*0.179)/(1.315*$C$27)</f>
        <v>300.33885931558939</v>
      </c>
      <c r="P27" s="26">
        <v>16</v>
      </c>
      <c r="Q27" s="39">
        <f>10^3*0.06895*(2*P27*0.179)/(1.315*$C$27)</f>
        <v>300.33885931558939</v>
      </c>
      <c r="R27" s="26">
        <v>15.3</v>
      </c>
      <c r="S27" s="39">
        <f>10^3*0.06895*(2*R27*0.179)/(1.315*$C$27)</f>
        <v>287.19903422053233</v>
      </c>
      <c r="T27" s="26">
        <v>14.6</v>
      </c>
      <c r="U27" s="39">
        <f>10^3*0.06895*(2*T27*0.179)/(1.315*$C$27)</f>
        <v>274.05920912547526</v>
      </c>
      <c r="V27" s="26">
        <v>12.5</v>
      </c>
      <c r="W27" s="39">
        <f>10^3*0.06895*(2*V27*0.179)/(1.315*$C$27)</f>
        <v>234.63973384030419</v>
      </c>
      <c r="X27" s="26">
        <v>10.7</v>
      </c>
      <c r="Y27" s="39">
        <f>10^3*0.06895*(2*X27*0.179)/(1.315*$C$27)</f>
        <v>200.85161216730037</v>
      </c>
      <c r="Z27" s="26">
        <v>9.1999999999999993</v>
      </c>
      <c r="AA27" s="40">
        <f>10^3*0.06895*(2*Z27*0.179)/(1.315*$C$27)</f>
        <v>172.69484410646388</v>
      </c>
    </row>
    <row r="28" spans="1:27" ht="19.5" thickBot="1" x14ac:dyDescent="0.3">
      <c r="A28" s="47"/>
      <c r="B28" s="50"/>
      <c r="C28" s="30">
        <v>1</v>
      </c>
      <c r="D28" s="30">
        <v>1</v>
      </c>
      <c r="E28" s="30">
        <v>160</v>
      </c>
      <c r="F28" s="30">
        <v>1.3149999999999999</v>
      </c>
      <c r="G28" s="30">
        <v>0.25</v>
      </c>
      <c r="H28" s="30">
        <v>16</v>
      </c>
      <c r="I28" s="41">
        <f>10^3*0.06895*(2*H28*0.25)/(1.315*C28)</f>
        <v>419.46768060836507</v>
      </c>
      <c r="J28" s="30">
        <v>16</v>
      </c>
      <c r="K28" s="41">
        <f>10^3*0.06895*(2*J28*0.25)/(1.315*C28)</f>
        <v>419.46768060836507</v>
      </c>
      <c r="L28" s="30">
        <v>16</v>
      </c>
      <c r="M28" s="41">
        <f>10^3*0.06895*(2*L28*0.25)/(1.315*C28)</f>
        <v>419.46768060836507</v>
      </c>
      <c r="N28" s="30">
        <v>16</v>
      </c>
      <c r="O28" s="41">
        <f>10^3*0.06895*(2*N28*0.25)/(1.315*$C$28)</f>
        <v>419.46768060836507</v>
      </c>
      <c r="P28" s="30">
        <v>16</v>
      </c>
      <c r="Q28" s="41">
        <f>10^3*0.06895*(2*P28*0.25)/(1.315*$C$28)</f>
        <v>419.46768060836507</v>
      </c>
      <c r="R28" s="30">
        <v>15.3</v>
      </c>
      <c r="S28" s="41">
        <f>10^3*0.06895*(2*R28*0.25)/(1.315*$C$28)</f>
        <v>401.11596958174914</v>
      </c>
      <c r="T28" s="30">
        <v>14.6</v>
      </c>
      <c r="U28" s="41">
        <f>10^3*0.06895*(2*T28*0.25)/(1.315*$C$28)</f>
        <v>382.7642585551331</v>
      </c>
      <c r="V28" s="30">
        <v>12.5</v>
      </c>
      <c r="W28" s="41">
        <f>10^3*0.06895*(2*V28*0.25)/(1.315*$C$28)</f>
        <v>327.70912547528519</v>
      </c>
      <c r="X28" s="30">
        <v>10.7</v>
      </c>
      <c r="Y28" s="41">
        <f>10^3*0.06895*(2*X28*0.25)/(1.315*$C$28)</f>
        <v>280.51901140684413</v>
      </c>
      <c r="Z28" s="30">
        <v>9.1999999999999993</v>
      </c>
      <c r="AA28" s="42">
        <f>10^3*0.06895*(2*Z28*0.25)/(1.315*$C$28)</f>
        <v>241.19391634980991</v>
      </c>
    </row>
    <row r="29" spans="1:27" ht="18.75" x14ac:dyDescent="0.25">
      <c r="A29" s="47"/>
      <c r="B29" s="48" t="s">
        <v>1</v>
      </c>
      <c r="C29" s="21">
        <v>1</v>
      </c>
      <c r="D29" s="21">
        <v>1</v>
      </c>
      <c r="E29" s="21">
        <v>5</v>
      </c>
      <c r="F29" s="23">
        <v>1.3149999999999999</v>
      </c>
      <c r="G29" s="21">
        <v>6.5000000000000002E-2</v>
      </c>
      <c r="H29" s="21">
        <v>20</v>
      </c>
      <c r="I29" s="37">
        <f>10^3*0.06895*(2*H29*0.065)/(1.315*C29)</f>
        <v>136.32699619771864</v>
      </c>
      <c r="J29" s="21">
        <v>20</v>
      </c>
      <c r="K29" s="37">
        <f>10^3*0.06895*(2*J29*0.065)/(1.315*C29)</f>
        <v>136.32699619771864</v>
      </c>
      <c r="L29" s="21">
        <v>20</v>
      </c>
      <c r="M29" s="37">
        <f>10^3*0.06895*(2*L29*0.065)/(1.315*C29)</f>
        <v>136.32699619771864</v>
      </c>
      <c r="N29" s="21">
        <v>19.899999999999999</v>
      </c>
      <c r="O29" s="37">
        <f>10^3*0.06895*(2*N29*0.065)/(1.315*$C$23)</f>
        <v>135.64536121673004</v>
      </c>
      <c r="P29" s="21">
        <v>19</v>
      </c>
      <c r="Q29" s="37">
        <f>10^3*0.06895*(2*P29*0.065)/(1.315*$C$23)</f>
        <v>129.51064638783274</v>
      </c>
      <c r="R29" s="21">
        <v>17.899999999999999</v>
      </c>
      <c r="S29" s="37">
        <f>10^3*0.06895*(2*R29*0.065)/(1.315*$C$23)</f>
        <v>122.01266159695818</v>
      </c>
      <c r="T29" s="21">
        <v>17.3</v>
      </c>
      <c r="U29" s="37">
        <f>10^3*0.06895*(2*T29*0.065)/(1.315*$C$23)</f>
        <v>117.92285171102664</v>
      </c>
      <c r="V29" s="21">
        <v>16.7</v>
      </c>
      <c r="W29" s="37">
        <f>10^3*0.06895*(2*V29*0.065)/(1.315*$C$23)</f>
        <v>113.83304182509507</v>
      </c>
      <c r="X29" s="21">
        <v>13.9</v>
      </c>
      <c r="Y29" s="37">
        <f>10^3*0.06895*(2*X29*0.065)/(1.315*$C$23)</f>
        <v>94.747262357414471</v>
      </c>
      <c r="Z29" s="21">
        <v>11.4</v>
      </c>
      <c r="AA29" s="38">
        <f>10^3*0.06895*(2*Z29*0.065)/(1.315*$C$23)</f>
        <v>77.706387832699633</v>
      </c>
    </row>
    <row r="30" spans="1:27" ht="18.75" x14ac:dyDescent="0.25">
      <c r="A30" s="47"/>
      <c r="B30" s="49"/>
      <c r="C30" s="26">
        <v>1</v>
      </c>
      <c r="D30" s="26">
        <v>1</v>
      </c>
      <c r="E30" s="26">
        <v>10</v>
      </c>
      <c r="F30" s="26">
        <v>1.3149999999999999</v>
      </c>
      <c r="G30" s="26">
        <v>0.109</v>
      </c>
      <c r="H30" s="26">
        <v>20</v>
      </c>
      <c r="I30" s="39">
        <f>10^3*0.06895*(2*H30*0.109)/(1.315*C30)</f>
        <v>228.60988593155895</v>
      </c>
      <c r="J30" s="26">
        <v>20</v>
      </c>
      <c r="K30" s="39">
        <f>10^3*0.06895*(2*J30*0.109)/(1.315*C30)</f>
        <v>228.60988593155895</v>
      </c>
      <c r="L30" s="26">
        <v>20</v>
      </c>
      <c r="M30" s="39">
        <f>10^3*0.06895*(2*L30*0.109)/(1.315*C30)</f>
        <v>228.60988593155895</v>
      </c>
      <c r="N30" s="26">
        <v>19.899999999999999</v>
      </c>
      <c r="O30" s="39">
        <f>10^3*0.06895*(2*N30*0.109)/(1.315*$C$24)</f>
        <v>227.46683650190113</v>
      </c>
      <c r="P30" s="26">
        <v>19</v>
      </c>
      <c r="Q30" s="39">
        <f>10^3*0.06895*(2*P30*0.109)/(1.315*$C$24)</f>
        <v>217.17939163498102</v>
      </c>
      <c r="R30" s="26">
        <v>17.899999999999999</v>
      </c>
      <c r="S30" s="39">
        <f>10^3*0.06895*(2*R30*0.109)/(1.315*$C$24)</f>
        <v>204.60584790874526</v>
      </c>
      <c r="T30" s="26">
        <v>17.3</v>
      </c>
      <c r="U30" s="39">
        <f>10^3*0.06895*(2*T30*0.109)/(1.315*$C$24)</f>
        <v>197.74755133079853</v>
      </c>
      <c r="V30" s="26">
        <v>16.7</v>
      </c>
      <c r="W30" s="39">
        <f>10^3*0.06895*(2*V30*0.109)/(1.315*$C$24)</f>
        <v>190.88925475285171</v>
      </c>
      <c r="X30" s="26">
        <v>13.9</v>
      </c>
      <c r="Y30" s="39">
        <f>10^3*0.06895*(2*X30*0.109)/(1.315*$C$24)</f>
        <v>158.88387072243347</v>
      </c>
      <c r="Z30" s="26">
        <v>11.4</v>
      </c>
      <c r="AA30" s="40">
        <f>10^3*0.06895*(2*Z30*0.109)/(1.315*$C$24)</f>
        <v>130.30763498098858</v>
      </c>
    </row>
    <row r="31" spans="1:27" ht="18.75" x14ac:dyDescent="0.25">
      <c r="A31" s="47"/>
      <c r="B31" s="49"/>
      <c r="C31" s="26">
        <v>1</v>
      </c>
      <c r="D31" s="26">
        <v>1</v>
      </c>
      <c r="E31" s="26">
        <v>30</v>
      </c>
      <c r="F31" s="26">
        <v>1.3149999999999999</v>
      </c>
      <c r="G31" s="26">
        <v>0.114</v>
      </c>
      <c r="H31" s="26">
        <v>20</v>
      </c>
      <c r="I31" s="39">
        <f>10^3*0.06895*(2*H31*0.114)/(1.315*C31)</f>
        <v>239.09657794676809</v>
      </c>
      <c r="J31" s="26">
        <v>20</v>
      </c>
      <c r="K31" s="39">
        <f>10^3*0.06895*(2*J31*0.114)/(1.315*C31)</f>
        <v>239.09657794676809</v>
      </c>
      <c r="L31" s="26">
        <v>20</v>
      </c>
      <c r="M31" s="39">
        <f>10^3*0.06895*(2*L31*0.114)/(1.315*C31)</f>
        <v>239.09657794676809</v>
      </c>
      <c r="N31" s="26">
        <v>19.899999999999999</v>
      </c>
      <c r="O31" s="39">
        <f>10^3*0.06895*(2*N31*0.114)/(1.315*$C$25)</f>
        <v>237.90109505703418</v>
      </c>
      <c r="P31" s="26">
        <v>19</v>
      </c>
      <c r="Q31" s="39">
        <f>10^3*0.06895*(2*P31*0.114)/(1.315*$C$25)</f>
        <v>227.14174904942965</v>
      </c>
      <c r="R31" s="26">
        <v>17.899999999999999</v>
      </c>
      <c r="S31" s="39">
        <f>10^3*0.06895*(2*R31*0.114)/(1.315*$C$25)</f>
        <v>213.99143726235744</v>
      </c>
      <c r="T31" s="26">
        <v>17.3</v>
      </c>
      <c r="U31" s="39">
        <f>10^3*0.06895*(2*T31*0.114)/(1.315*$C$25)</f>
        <v>206.8185399239544</v>
      </c>
      <c r="V31" s="26">
        <v>16.7</v>
      </c>
      <c r="W31" s="39">
        <f>10^3*0.06895*(2*V31*0.114)/(1.315*$C$25)</f>
        <v>199.64564258555134</v>
      </c>
      <c r="X31" s="26">
        <v>13.9</v>
      </c>
      <c r="Y31" s="39">
        <f>10^3*0.06895*(2*X31*0.114)/(1.315*$C$25)</f>
        <v>166.17212167300383</v>
      </c>
      <c r="Z31" s="26">
        <v>11.4</v>
      </c>
      <c r="AA31" s="40">
        <f>10^3*0.06895*(2*Z31*0.114)/(1.315*$C$25)</f>
        <v>136.28504942965782</v>
      </c>
    </row>
    <row r="32" spans="1:27" ht="18.75" x14ac:dyDescent="0.25">
      <c r="A32" s="47"/>
      <c r="B32" s="49"/>
      <c r="C32" s="26">
        <v>1</v>
      </c>
      <c r="D32" s="26">
        <v>1</v>
      </c>
      <c r="E32" s="26">
        <v>40</v>
      </c>
      <c r="F32" s="26">
        <v>1.3149999999999999</v>
      </c>
      <c r="G32" s="26">
        <v>0.13300000000000001</v>
      </c>
      <c r="H32" s="26">
        <v>20</v>
      </c>
      <c r="I32" s="39">
        <f>10^3*0.06895*(2*H32*0.133)/(1.315*C32)</f>
        <v>278.94600760456274</v>
      </c>
      <c r="J32" s="26">
        <v>20</v>
      </c>
      <c r="K32" s="39">
        <f>10^3*0.06895*(2*J32*0.133)/(1.315*C32)</f>
        <v>278.94600760456274</v>
      </c>
      <c r="L32" s="26">
        <v>20</v>
      </c>
      <c r="M32" s="39">
        <f>10^3*0.06895*(2*L32*0.133)/(1.315*C32)</f>
        <v>278.94600760456274</v>
      </c>
      <c r="N32" s="26">
        <v>19.899999999999999</v>
      </c>
      <c r="O32" s="39">
        <f>10^3*0.06895*(2*N32*0.133)/(1.315*$C$26)</f>
        <v>277.55127756653997</v>
      </c>
      <c r="P32" s="26">
        <v>19</v>
      </c>
      <c r="Q32" s="39">
        <f>10^3*0.06895*(2*P32*0.133)/(1.315*$C$26)</f>
        <v>264.99870722433462</v>
      </c>
      <c r="R32" s="26">
        <v>17.899999999999999</v>
      </c>
      <c r="S32" s="39">
        <f>10^3*0.06895*(2*R32*0.133)/(1.315*$C$26)</f>
        <v>249.65667680608368</v>
      </c>
      <c r="T32" s="26">
        <v>17.3</v>
      </c>
      <c r="U32" s="39">
        <f>10^3*0.06895*(2*T32*0.133)/(1.315*$C$26)</f>
        <v>241.28829657794682</v>
      </c>
      <c r="V32" s="26">
        <v>16.7</v>
      </c>
      <c r="W32" s="39">
        <f>10^3*0.06895*(2*V32*0.133)/(1.315*$C$26)</f>
        <v>232.91991634980991</v>
      </c>
      <c r="X32" s="26">
        <v>13.9</v>
      </c>
      <c r="Y32" s="39">
        <f>10^3*0.06895*(2*X32*0.133)/(1.315*$C$26)</f>
        <v>193.86747528517114</v>
      </c>
      <c r="Z32" s="26">
        <v>11.4</v>
      </c>
      <c r="AA32" s="40">
        <f>10^3*0.06895*(2*Z32*0.133)/(1.315*$C$26)</f>
        <v>158.9992243346008</v>
      </c>
    </row>
    <row r="33" spans="1:27" ht="18.75" x14ac:dyDescent="0.25">
      <c r="A33" s="47"/>
      <c r="B33" s="49"/>
      <c r="C33" s="26">
        <v>1</v>
      </c>
      <c r="D33" s="26">
        <v>1</v>
      </c>
      <c r="E33" s="26">
        <v>80</v>
      </c>
      <c r="F33" s="26">
        <v>1.3149999999999999</v>
      </c>
      <c r="G33" s="26">
        <v>0.17899999999999999</v>
      </c>
      <c r="H33" s="26">
        <v>20</v>
      </c>
      <c r="I33" s="39">
        <f>10^3*0.06895*(2*H33*0.179)/(1.315*C33)</f>
        <v>375.42357414448674</v>
      </c>
      <c r="J33" s="26">
        <v>20</v>
      </c>
      <c r="K33" s="39">
        <f>10^3*0.06895*(2*J33*0.179)/(1.315*C33)</f>
        <v>375.42357414448674</v>
      </c>
      <c r="L33" s="26">
        <v>20</v>
      </c>
      <c r="M33" s="39">
        <f>10^3*0.06895*(2*L33*0.179)/(1.315*C33)</f>
        <v>375.42357414448674</v>
      </c>
      <c r="N33" s="26">
        <v>19.899999999999999</v>
      </c>
      <c r="O33" s="39">
        <f>10^3*0.06895*(2*N33*0.179)/(1.315*$C$27)</f>
        <v>373.54645627376425</v>
      </c>
      <c r="P33" s="26">
        <v>19</v>
      </c>
      <c r="Q33" s="39">
        <f>10^3*0.06895*(2*P33*0.179)/(1.315*$C$27)</f>
        <v>356.65239543726238</v>
      </c>
      <c r="R33" s="26">
        <v>17.899999999999999</v>
      </c>
      <c r="S33" s="39">
        <f>10^3*0.06895*(2*R33*0.179)/(1.315*$C$27)</f>
        <v>336.00409885931555</v>
      </c>
      <c r="T33" s="26">
        <v>17.3</v>
      </c>
      <c r="U33" s="39">
        <f>10^3*0.06895*(2*T33*0.179)/(1.315*$C$27)</f>
        <v>324.74139163498097</v>
      </c>
      <c r="V33" s="26">
        <v>16.7</v>
      </c>
      <c r="W33" s="39">
        <f>10^3*0.06895*(2*V33*0.179)/(1.315*$C$27)</f>
        <v>313.47868441064634</v>
      </c>
      <c r="X33" s="26">
        <v>13.9</v>
      </c>
      <c r="Y33" s="39">
        <f>10^3*0.06895*(2*X33*0.179)/(1.315*$C$27)</f>
        <v>260.91938403041826</v>
      </c>
      <c r="Z33" s="26">
        <v>11.4</v>
      </c>
      <c r="AA33" s="40">
        <f>10^3*0.06895*(2*Z33*0.179)/(1.315*$C$27)</f>
        <v>213.99143726235744</v>
      </c>
    </row>
    <row r="34" spans="1:27" ht="19.5" thickBot="1" x14ac:dyDescent="0.3">
      <c r="A34" s="47"/>
      <c r="B34" s="50"/>
      <c r="C34" s="30">
        <v>1</v>
      </c>
      <c r="D34" s="30">
        <v>1</v>
      </c>
      <c r="E34" s="30">
        <v>160</v>
      </c>
      <c r="F34" s="30">
        <v>1.3149999999999999</v>
      </c>
      <c r="G34" s="30">
        <v>0.25</v>
      </c>
      <c r="H34" s="30">
        <v>20</v>
      </c>
      <c r="I34" s="41">
        <f>10^3*0.06895*(2*H34*0.25)/(1.315*C34)</f>
        <v>524.33460076045628</v>
      </c>
      <c r="J34" s="30">
        <v>20</v>
      </c>
      <c r="K34" s="41">
        <f>10^3*0.06895*(2*J34*0.25)/(1.315*C34)</f>
        <v>524.33460076045628</v>
      </c>
      <c r="L34" s="30">
        <v>20</v>
      </c>
      <c r="M34" s="41">
        <f>10^3*0.06895*(2*L34*0.25)/(1.315*C34)</f>
        <v>524.33460076045628</v>
      </c>
      <c r="N34" s="30">
        <v>19.899999999999999</v>
      </c>
      <c r="O34" s="41">
        <f>10^3*0.06895*(2*N34*0.25)/(1.315*$C$28)</f>
        <v>521.71292775665404</v>
      </c>
      <c r="P34" s="30">
        <v>19</v>
      </c>
      <c r="Q34" s="41">
        <f>10^3*0.06895*(2*P34*0.25)/(1.315*$C$28)</f>
        <v>498.11787072243345</v>
      </c>
      <c r="R34" s="30">
        <v>17.899999999999999</v>
      </c>
      <c r="S34" s="41">
        <f>10^3*0.06895*(2*R34*0.25)/(1.315*$C$28)</f>
        <v>469.27946768060838</v>
      </c>
      <c r="T34" s="30">
        <v>17.3</v>
      </c>
      <c r="U34" s="41">
        <f>10^3*0.06895*(2*T34*0.25)/(1.315*$C$28)</f>
        <v>453.54942965779469</v>
      </c>
      <c r="V34" s="30">
        <v>16.7</v>
      </c>
      <c r="W34" s="41">
        <f>10^3*0.06895*(2*V34*0.25)/(1.315*$C$28)</f>
        <v>437.819391634981</v>
      </c>
      <c r="X34" s="30">
        <v>13.9</v>
      </c>
      <c r="Y34" s="41">
        <f>10^3*0.06895*(2*X34*0.25)/(1.315*$C$28)</f>
        <v>364.41254752851717</v>
      </c>
      <c r="Z34" s="30">
        <v>11.4</v>
      </c>
      <c r="AA34" s="42">
        <f>10^3*0.06895*(2*Z34*0.25)/(1.315*$C$28)</f>
        <v>298.87072243346012</v>
      </c>
    </row>
    <row r="35" spans="1:27" ht="18.75" x14ac:dyDescent="0.25">
      <c r="A35" s="47"/>
      <c r="B35" s="48" t="s">
        <v>6</v>
      </c>
      <c r="C35" s="21">
        <v>1</v>
      </c>
      <c r="D35" s="21">
        <v>1</v>
      </c>
      <c r="E35" s="21">
        <v>5</v>
      </c>
      <c r="F35" s="23">
        <v>1.3149999999999999</v>
      </c>
      <c r="G35" s="21">
        <v>6.5000000000000002E-2</v>
      </c>
      <c r="H35" s="34">
        <v>23.3</v>
      </c>
      <c r="I35" s="37">
        <f>10^3*0.06895*(2*H35*0.065)/(1.315*C35)</f>
        <v>158.82095057034223</v>
      </c>
      <c r="J35" s="34">
        <v>23.3</v>
      </c>
      <c r="K35" s="37">
        <f>10^3*0.06895*(2*J35*0.065)/(1.315*C35)</f>
        <v>158.82095057034223</v>
      </c>
      <c r="L35" s="34">
        <v>23.3</v>
      </c>
      <c r="M35" s="37">
        <f>10^3*0.06895*(2*L35*0.065)/(1.315*C35)</f>
        <v>158.82095057034223</v>
      </c>
      <c r="N35" s="34">
        <v>22.8</v>
      </c>
      <c r="O35" s="37">
        <f>10^3*0.06895*(2*N35*0.065)/(1.315*$C$23)</f>
        <v>155.41277566539927</v>
      </c>
      <c r="P35" s="34">
        <v>21.7</v>
      </c>
      <c r="Q35" s="37">
        <f>10^3*0.06895*(2*P35*0.065)/(1.315*$C$23)</f>
        <v>147.91479087452473</v>
      </c>
      <c r="R35" s="34">
        <v>20.399999999999999</v>
      </c>
      <c r="S35" s="37">
        <f>10^3*0.06895*(2*R35*0.065)/(1.315*$C$23)</f>
        <v>139.05353612167298</v>
      </c>
      <c r="T35" s="34">
        <v>19.8</v>
      </c>
      <c r="U35" s="37">
        <f>10^3*0.06895*(2*T35*0.065)/(1.315*$C$23)</f>
        <v>134.96372623574146</v>
      </c>
      <c r="V35" s="34">
        <v>18.3</v>
      </c>
      <c r="W35" s="37">
        <f>10^3*0.06895*(2*V35*0.065)/(1.315*$C$23)</f>
        <v>124.73920152091254</v>
      </c>
      <c r="X35" s="34">
        <v>14.8</v>
      </c>
      <c r="Y35" s="37">
        <f>10^3*0.06895*(2*X35*0.065)/(1.315*$C$23)</f>
        <v>100.8819771863118</v>
      </c>
      <c r="Z35" s="34">
        <v>12</v>
      </c>
      <c r="AA35" s="38">
        <f>10^3*0.06895*(2*Z35*0.065)/(1.315*$C$23)</f>
        <v>81.796197718631191</v>
      </c>
    </row>
    <row r="36" spans="1:27" ht="18.75" x14ac:dyDescent="0.25">
      <c r="A36" s="47"/>
      <c r="B36" s="49"/>
      <c r="C36" s="26">
        <v>1</v>
      </c>
      <c r="D36" s="26">
        <v>1</v>
      </c>
      <c r="E36" s="26">
        <v>10</v>
      </c>
      <c r="F36" s="26">
        <v>1.3149999999999999</v>
      </c>
      <c r="G36" s="26">
        <v>0.109</v>
      </c>
      <c r="H36" s="35">
        <v>23.3</v>
      </c>
      <c r="I36" s="39">
        <f>10^3*0.06895*(2*H36*0.109)/(1.315*C36)</f>
        <v>266.33051711026621</v>
      </c>
      <c r="J36" s="35">
        <v>23.3</v>
      </c>
      <c r="K36" s="39">
        <f>10^3*0.06895*(2*J36*0.109)/(1.315*C36)</f>
        <v>266.33051711026621</v>
      </c>
      <c r="L36" s="35">
        <v>23.3</v>
      </c>
      <c r="M36" s="39">
        <f>10^3*0.06895*(2*L36*0.109)/(1.315*C36)</f>
        <v>266.33051711026621</v>
      </c>
      <c r="N36" s="35">
        <v>22.8</v>
      </c>
      <c r="O36" s="39">
        <f>10^3*0.06895*(2*N36*0.109)/(1.315*$C$24)</f>
        <v>260.61526996197716</v>
      </c>
      <c r="P36" s="35">
        <v>21.7</v>
      </c>
      <c r="Q36" s="39">
        <f>10^3*0.06895*(2*P36*0.109)/(1.315*$C$24)</f>
        <v>248.04172623574146</v>
      </c>
      <c r="R36" s="35">
        <v>20.399999999999999</v>
      </c>
      <c r="S36" s="39">
        <f>10^3*0.06895*(2*R36*0.109)/(1.315*$C$24)</f>
        <v>233.18208365019012</v>
      </c>
      <c r="T36" s="35">
        <v>19.8</v>
      </c>
      <c r="U36" s="39">
        <f>10^3*0.06895*(2*T36*0.109)/(1.315*$C$24)</f>
        <v>226.32378707224333</v>
      </c>
      <c r="V36" s="35">
        <v>18.3</v>
      </c>
      <c r="W36" s="39">
        <f>10^3*0.06895*(2*V36*0.109)/(1.315*$C$24)</f>
        <v>209.17804562737646</v>
      </c>
      <c r="X36" s="35">
        <v>14.8</v>
      </c>
      <c r="Y36" s="39">
        <f>10^3*0.06895*(2*X36*0.109)/(1.315*$C$24)</f>
        <v>169.17131558935364</v>
      </c>
      <c r="Z36" s="35">
        <v>12</v>
      </c>
      <c r="AA36" s="40">
        <f>10^3*0.06895*(2*Z36*0.109)/(1.315*$C$24)</f>
        <v>137.1659315589354</v>
      </c>
    </row>
    <row r="37" spans="1:27" ht="18.75" x14ac:dyDescent="0.25">
      <c r="A37" s="47"/>
      <c r="B37" s="49"/>
      <c r="C37" s="26">
        <v>1</v>
      </c>
      <c r="D37" s="26">
        <v>1</v>
      </c>
      <c r="E37" s="26">
        <v>30</v>
      </c>
      <c r="F37" s="26">
        <v>1.3149999999999999</v>
      </c>
      <c r="G37" s="26">
        <v>0.114</v>
      </c>
      <c r="H37" s="35">
        <v>23.3</v>
      </c>
      <c r="I37" s="39">
        <f>10^3*0.06895*(2*H37*0.114)/(1.315*C37)</f>
        <v>278.54751330798479</v>
      </c>
      <c r="J37" s="35">
        <v>23.3</v>
      </c>
      <c r="K37" s="39">
        <f>10^3*0.06895*(2*J37*0.114)/(1.315*C37)</f>
        <v>278.54751330798479</v>
      </c>
      <c r="L37" s="35">
        <v>23.3</v>
      </c>
      <c r="M37" s="39">
        <f>10^3*0.06895*(2*L37*0.114)/(1.315*C37)</f>
        <v>278.54751330798479</v>
      </c>
      <c r="N37" s="35">
        <v>22.8</v>
      </c>
      <c r="O37" s="39">
        <f>10^3*0.06895*(2*N37*0.114)/(1.315*$C$25)</f>
        <v>272.57009885931564</v>
      </c>
      <c r="P37" s="35">
        <v>21.7</v>
      </c>
      <c r="Q37" s="39">
        <f>10^3*0.06895*(2*P37*0.114)/(1.315*$C$25)</f>
        <v>259.41978707224342</v>
      </c>
      <c r="R37" s="35">
        <v>20.399999999999999</v>
      </c>
      <c r="S37" s="39">
        <f>10^3*0.06895*(2*R37*0.114)/(1.315*$C$25)</f>
        <v>243.87850950570345</v>
      </c>
      <c r="T37" s="35">
        <v>19.8</v>
      </c>
      <c r="U37" s="39">
        <f>10^3*0.06895*(2*T37*0.114)/(1.315*$C$25)</f>
        <v>236.70561216730042</v>
      </c>
      <c r="V37" s="35">
        <v>18.3</v>
      </c>
      <c r="W37" s="39">
        <f>10^3*0.06895*(2*V37*0.114)/(1.315*$C$25)</f>
        <v>218.77336882129282</v>
      </c>
      <c r="X37" s="35">
        <v>14.8</v>
      </c>
      <c r="Y37" s="39">
        <f>10^3*0.06895*(2*X37*0.114)/(1.315*$C$25)</f>
        <v>176.93146768060839</v>
      </c>
      <c r="Z37" s="35">
        <v>12</v>
      </c>
      <c r="AA37" s="40">
        <f>10^3*0.06895*(2*Z37*0.114)/(1.315*$C$25)</f>
        <v>143.45794676806085</v>
      </c>
    </row>
    <row r="38" spans="1:27" ht="18.75" x14ac:dyDescent="0.25">
      <c r="A38" s="47"/>
      <c r="B38" s="49"/>
      <c r="C38" s="26">
        <v>1</v>
      </c>
      <c r="D38" s="26">
        <v>1</v>
      </c>
      <c r="E38" s="26">
        <v>40</v>
      </c>
      <c r="F38" s="26">
        <v>1.3149999999999999</v>
      </c>
      <c r="G38" s="26">
        <v>0.13300000000000001</v>
      </c>
      <c r="H38" s="35">
        <v>23.3</v>
      </c>
      <c r="I38" s="39">
        <f>10^3*0.06895*(2*H38*0.133)/(1.315*C38)</f>
        <v>324.97209885931568</v>
      </c>
      <c r="J38" s="35">
        <v>23.3</v>
      </c>
      <c r="K38" s="39">
        <f>10^3*0.06895*(2*J38*0.133)/(1.315*C38)</f>
        <v>324.97209885931568</v>
      </c>
      <c r="L38" s="35">
        <v>23.3</v>
      </c>
      <c r="M38" s="39">
        <f>10^3*0.06895*(2*L38*0.133)/(1.315*C38)</f>
        <v>324.97209885931568</v>
      </c>
      <c r="N38" s="35">
        <v>22.8</v>
      </c>
      <c r="O38" s="39">
        <f>10^3*0.06895*(2*N38*0.133)/(1.315*$C$26)</f>
        <v>317.99844866920159</v>
      </c>
      <c r="P38" s="35">
        <v>21.7</v>
      </c>
      <c r="Q38" s="39">
        <f>10^3*0.06895*(2*P38*0.133)/(1.315*$C$26)</f>
        <v>302.65641825095059</v>
      </c>
      <c r="R38" s="35">
        <v>20.399999999999999</v>
      </c>
      <c r="S38" s="39">
        <f>10^3*0.06895*(2*R38*0.133)/(1.315*$C$26)</f>
        <v>284.52492775665399</v>
      </c>
      <c r="T38" s="35">
        <v>19.8</v>
      </c>
      <c r="U38" s="39">
        <f>10^3*0.06895*(2*T38*0.133)/(1.315*$C$26)</f>
        <v>276.15654752851719</v>
      </c>
      <c r="V38" s="35">
        <v>18.3</v>
      </c>
      <c r="W38" s="39">
        <f>10^3*0.06895*(2*V38*0.133)/(1.315*$C$26)</f>
        <v>255.23559695817497</v>
      </c>
      <c r="X38" s="35">
        <v>14.8</v>
      </c>
      <c r="Y38" s="39">
        <f>10^3*0.06895*(2*X38*0.133)/(1.315*$C$26)</f>
        <v>206.42004562737645</v>
      </c>
      <c r="Z38" s="35">
        <v>12</v>
      </c>
      <c r="AA38" s="40">
        <f>10^3*0.06895*(2*Z38*0.133)/(1.315*$C$26)</f>
        <v>167.36760456273765</v>
      </c>
    </row>
    <row r="39" spans="1:27" ht="18.75" x14ac:dyDescent="0.25">
      <c r="A39" s="47"/>
      <c r="B39" s="49"/>
      <c r="C39" s="26">
        <v>1</v>
      </c>
      <c r="D39" s="26">
        <v>1</v>
      </c>
      <c r="E39" s="26">
        <v>80</v>
      </c>
      <c r="F39" s="26">
        <v>1.3149999999999999</v>
      </c>
      <c r="G39" s="26">
        <v>0.17899999999999999</v>
      </c>
      <c r="H39" s="35">
        <v>23.3</v>
      </c>
      <c r="I39" s="39">
        <f>10^3*0.06895*(2*H39*0.179)/(1.315*C39)</f>
        <v>437.36846387832702</v>
      </c>
      <c r="J39" s="35">
        <v>23.3</v>
      </c>
      <c r="K39" s="39">
        <f>10^3*0.06895*(2*J39*0.179)/(1.315*C39)</f>
        <v>437.36846387832702</v>
      </c>
      <c r="L39" s="35">
        <v>23.3</v>
      </c>
      <c r="M39" s="39">
        <f>10^3*0.06895*(2*L39*0.179)/(1.315*C39)</f>
        <v>437.36846387832702</v>
      </c>
      <c r="N39" s="35">
        <v>22.8</v>
      </c>
      <c r="O39" s="39">
        <f>10^3*0.06895*(2*N39*0.179)/(1.315*$C$27)</f>
        <v>427.98287452471487</v>
      </c>
      <c r="P39" s="35">
        <v>21.7</v>
      </c>
      <c r="Q39" s="39">
        <f>10^3*0.06895*(2*P39*0.179)/(1.315*$C$27)</f>
        <v>407.33457794676804</v>
      </c>
      <c r="R39" s="35">
        <v>20.399999999999999</v>
      </c>
      <c r="S39" s="39">
        <f>10^3*0.06895*(2*R39*0.179)/(1.315*$C$27)</f>
        <v>382.93204562737645</v>
      </c>
      <c r="T39" s="35">
        <v>19.8</v>
      </c>
      <c r="U39" s="39">
        <f>10^3*0.06895*(2*T39*0.179)/(1.315*$C$27)</f>
        <v>371.66933840304182</v>
      </c>
      <c r="V39" s="35">
        <v>18.3</v>
      </c>
      <c r="W39" s="39">
        <f>10^3*0.06895*(2*V39*0.179)/(1.315*$C$27)</f>
        <v>343.51257034220538</v>
      </c>
      <c r="X39" s="35">
        <v>14.8</v>
      </c>
      <c r="Y39" s="39">
        <f>10^3*0.06895*(2*X39*0.179)/(1.315*$C$27)</f>
        <v>277.81344486692018</v>
      </c>
      <c r="Z39" s="35">
        <v>12</v>
      </c>
      <c r="AA39" s="40">
        <f>10^3*0.06895*(2*Z39*0.179)/(1.315*$C$27)</f>
        <v>225.25414448669198</v>
      </c>
    </row>
    <row r="40" spans="1:27" ht="19.5" thickBot="1" x14ac:dyDescent="0.3">
      <c r="A40" s="47"/>
      <c r="B40" s="50"/>
      <c r="C40" s="30">
        <v>1</v>
      </c>
      <c r="D40" s="30">
        <v>1</v>
      </c>
      <c r="E40" s="30">
        <v>160</v>
      </c>
      <c r="F40" s="30">
        <v>1.3149999999999999</v>
      </c>
      <c r="G40" s="30">
        <v>0.25</v>
      </c>
      <c r="H40" s="36">
        <v>23.3</v>
      </c>
      <c r="I40" s="41">
        <f>10^3*0.06895*(2*H40*0.25)/(1.315*C40)</f>
        <v>610.84980988593156</v>
      </c>
      <c r="J40" s="36">
        <v>23.3</v>
      </c>
      <c r="K40" s="41">
        <f>10^3*0.06895*(2*J40*0.25)/(1.315*C40)</f>
        <v>610.84980988593156</v>
      </c>
      <c r="L40" s="36">
        <v>23.3</v>
      </c>
      <c r="M40" s="41">
        <f>10^3*0.06895*(2*L40*0.25)/(1.315*C40)</f>
        <v>610.84980988593156</v>
      </c>
      <c r="N40" s="36">
        <v>22.8</v>
      </c>
      <c r="O40" s="41">
        <f>10^3*0.06895*(2*N40*0.25)/(1.315*$C$28)</f>
        <v>597.74144486692023</v>
      </c>
      <c r="P40" s="36">
        <v>21.7</v>
      </c>
      <c r="Q40" s="41">
        <f>10^3*0.06895*(2*P40*0.25)/(1.315*$C$28)</f>
        <v>568.9030418250951</v>
      </c>
      <c r="R40" s="36">
        <v>20.399999999999999</v>
      </c>
      <c r="S40" s="41">
        <f>10^3*0.06895*(2*R40*0.25)/(1.315*$C$28)</f>
        <v>534.82129277566537</v>
      </c>
      <c r="T40" s="36">
        <v>19.8</v>
      </c>
      <c r="U40" s="41">
        <f>10^3*0.06895*(2*T40*0.25)/(1.315*$C$28)</f>
        <v>519.0912547528518</v>
      </c>
      <c r="V40" s="36">
        <v>18.3</v>
      </c>
      <c r="W40" s="41">
        <f>10^3*0.06895*(2*V40*0.25)/(1.315*$C$28)</f>
        <v>479.76615969581752</v>
      </c>
      <c r="X40" s="36">
        <v>14.8</v>
      </c>
      <c r="Y40" s="41">
        <f>10^3*0.06895*(2*X40*0.25)/(1.315*$C$28)</f>
        <v>388.0076045627377</v>
      </c>
      <c r="Z40" s="36">
        <v>12</v>
      </c>
      <c r="AA40" s="42">
        <f>10^3*0.06895*(2*Z40*0.25)/(1.315*$C$28)</f>
        <v>314.6007604562738</v>
      </c>
    </row>
    <row r="41" spans="1:27" ht="18.75" x14ac:dyDescent="0.25">
      <c r="A41" s="47" t="s">
        <v>5</v>
      </c>
      <c r="B41" s="48" t="s">
        <v>2</v>
      </c>
      <c r="C41" s="21">
        <v>1</v>
      </c>
      <c r="D41" s="21">
        <v>2</v>
      </c>
      <c r="E41" s="21">
        <v>5</v>
      </c>
      <c r="F41" s="23">
        <v>2.375</v>
      </c>
      <c r="G41" s="21">
        <v>6.5000000000000002E-2</v>
      </c>
      <c r="H41" s="21">
        <v>16</v>
      </c>
      <c r="I41" s="37">
        <f>10^3*0.06895*(2*H41*0.065)/(2.375*$C$41)</f>
        <v>60.385684210526314</v>
      </c>
      <c r="J41" s="21">
        <v>16</v>
      </c>
      <c r="K41" s="37">
        <f>10^3*0.06895*(2*J41*0.065)/(2.375*$C$41)</f>
        <v>60.385684210526314</v>
      </c>
      <c r="L41" s="21">
        <v>16</v>
      </c>
      <c r="M41" s="37">
        <f>10^3*0.06895*(2*L41*0.065)/(2.375*$C$41)</f>
        <v>60.385684210526314</v>
      </c>
      <c r="N41" s="21">
        <v>16</v>
      </c>
      <c r="O41" s="37">
        <f>10^3*0.06895*(2*N41*0.065)/(2.375*$C$41)</f>
        <v>60.385684210526314</v>
      </c>
      <c r="P41" s="21">
        <v>16</v>
      </c>
      <c r="Q41" s="37">
        <f>10^3*0.06895*(2*P41*0.065)/(2.375*$C$41)</f>
        <v>60.385684210526314</v>
      </c>
      <c r="R41" s="21">
        <v>15.3</v>
      </c>
      <c r="S41" s="37">
        <f>10^3*0.06895*(2*R41*0.065)/(2.375*$C$41)</f>
        <v>57.743810526315798</v>
      </c>
      <c r="T41" s="21">
        <v>14.6</v>
      </c>
      <c r="U41" s="37">
        <f>10^3*0.06895*(2*T41*0.065)/(2.375*$C$41)</f>
        <v>55.10193684210526</v>
      </c>
      <c r="V41" s="21">
        <v>12.5</v>
      </c>
      <c r="W41" s="37">
        <f>10^3*0.06895*(2*V41*0.065)/(2.375*$C$41)</f>
        <v>47.176315789473684</v>
      </c>
      <c r="X41" s="21">
        <v>10.7</v>
      </c>
      <c r="Y41" s="37">
        <f>10^3*0.06895*(2*X41*0.065)/(2.375*$C$41)</f>
        <v>40.382926315789476</v>
      </c>
      <c r="Z41" s="21">
        <v>9.1999999999999993</v>
      </c>
      <c r="AA41" s="38">
        <f>10^3*0.06895*(2*Z41*0.065)/(2.375*$C$41)</f>
        <v>34.721768421052637</v>
      </c>
    </row>
    <row r="42" spans="1:27" ht="18.75" x14ac:dyDescent="0.25">
      <c r="A42" s="47"/>
      <c r="B42" s="49"/>
      <c r="C42" s="26">
        <v>1</v>
      </c>
      <c r="D42" s="26">
        <v>2</v>
      </c>
      <c r="E42" s="26">
        <v>10</v>
      </c>
      <c r="F42" s="23">
        <v>2.375</v>
      </c>
      <c r="G42" s="26">
        <v>0.109</v>
      </c>
      <c r="H42" s="26">
        <v>16</v>
      </c>
      <c r="I42" s="39">
        <f>10^3*0.06895*(2*H42*0.109)/(2.375*$C$42)</f>
        <v>101.26214736842105</v>
      </c>
      <c r="J42" s="26">
        <v>16</v>
      </c>
      <c r="K42" s="39">
        <f>10^3*0.06895*(2*J42*0.109)/(2.375*$C$42)</f>
        <v>101.26214736842105</v>
      </c>
      <c r="L42" s="26">
        <v>16</v>
      </c>
      <c r="M42" s="39">
        <f>10^3*0.06895*(2*L42*0.109)/(2.375*$C$42)</f>
        <v>101.26214736842105</v>
      </c>
      <c r="N42" s="26">
        <v>16</v>
      </c>
      <c r="O42" s="39">
        <f>10^3*0.06895*(2*N42*0.109)/(2.375*$C$42)</f>
        <v>101.26214736842105</v>
      </c>
      <c r="P42" s="26">
        <v>16</v>
      </c>
      <c r="Q42" s="39">
        <f>10^3*0.06895*(2*P42*0.109)/(2.375*$C$42)</f>
        <v>101.26214736842105</v>
      </c>
      <c r="R42" s="26">
        <v>15.3</v>
      </c>
      <c r="S42" s="39">
        <f>10^3*0.06895*(2*R42*0.109)/(2.375*$C$42)</f>
        <v>96.831928421052638</v>
      </c>
      <c r="T42" s="26">
        <v>14.6</v>
      </c>
      <c r="U42" s="39">
        <f>10^3*0.06895*(2*T42*0.109)/(2.375*$C$42)</f>
        <v>92.401709473684207</v>
      </c>
      <c r="V42" s="26">
        <v>12.5</v>
      </c>
      <c r="W42" s="39">
        <f>10^3*0.06895*(2*V42*0.109)/(2.375*$C$42)</f>
        <v>79.111052631578957</v>
      </c>
      <c r="X42" s="26">
        <v>10.7</v>
      </c>
      <c r="Y42" s="39">
        <f>10^3*0.06895*(2*X42*0.109)/(2.375*$C$42)</f>
        <v>67.719061052631574</v>
      </c>
      <c r="Z42" s="26">
        <v>9.1999999999999993</v>
      </c>
      <c r="AA42" s="40">
        <f>10^3*0.06895*(2*Z42*0.109)/(2.375*$C$42)</f>
        <v>58.225734736842099</v>
      </c>
    </row>
    <row r="43" spans="1:27" ht="18.75" x14ac:dyDescent="0.25">
      <c r="A43" s="47"/>
      <c r="B43" s="49"/>
      <c r="C43" s="26">
        <v>1</v>
      </c>
      <c r="D43" s="26">
        <v>2</v>
      </c>
      <c r="E43" s="26">
        <v>30</v>
      </c>
      <c r="F43" s="23">
        <v>2.375</v>
      </c>
      <c r="G43" s="26">
        <v>0.125</v>
      </c>
      <c r="H43" s="26">
        <v>16</v>
      </c>
      <c r="I43" s="39">
        <f>10^3*0.06895*(2*H43*0.125)/(2.375*$C$43)</f>
        <v>116.12631578947369</v>
      </c>
      <c r="J43" s="26">
        <v>16</v>
      </c>
      <c r="K43" s="39">
        <f>10^3*0.06895*(2*J43*0.125)/(2.375*$C$43)</f>
        <v>116.12631578947369</v>
      </c>
      <c r="L43" s="26">
        <v>16</v>
      </c>
      <c r="M43" s="39">
        <f>10^3*0.06895*(2*L43*0.125)/(2.375*$C$43)</f>
        <v>116.12631578947369</v>
      </c>
      <c r="N43" s="26">
        <v>16</v>
      </c>
      <c r="O43" s="39">
        <f>10^3*0.06895*(2*N43*0.125)/(2.375*$C$43)</f>
        <v>116.12631578947369</v>
      </c>
      <c r="P43" s="26">
        <v>16</v>
      </c>
      <c r="Q43" s="39">
        <f>10^3*0.06895*(2*P43*0.125)/(2.375*$C$43)</f>
        <v>116.12631578947369</v>
      </c>
      <c r="R43" s="26">
        <v>15.3</v>
      </c>
      <c r="S43" s="39">
        <f>10^3*0.06895*(2*R43*0.125)/(2.375*$C$43)</f>
        <v>111.04578947368422</v>
      </c>
      <c r="T43" s="26">
        <v>14.6</v>
      </c>
      <c r="U43" s="39">
        <f>10^3*0.06895*(2*T43*0.125)/(2.375*$C$43)</f>
        <v>105.96526315789474</v>
      </c>
      <c r="V43" s="26">
        <v>12.5</v>
      </c>
      <c r="W43" s="39">
        <f>10^3*0.06895*(2*V43*0.125)/(2.375*$C$43)</f>
        <v>90.723684210526315</v>
      </c>
      <c r="X43" s="26">
        <v>10.7</v>
      </c>
      <c r="Y43" s="39">
        <f>10^3*0.06895*(2*X43*0.125)/(2.375*$C$43)</f>
        <v>77.659473684210525</v>
      </c>
      <c r="Z43" s="26">
        <v>9.1999999999999993</v>
      </c>
      <c r="AA43" s="40">
        <f>10^3*0.06895*(2*Z43*0.125)/(2.375*$C$43)</f>
        <v>66.772631578947369</v>
      </c>
    </row>
    <row r="44" spans="1:27" ht="18.75" x14ac:dyDescent="0.25">
      <c r="A44" s="47"/>
      <c r="B44" s="49"/>
      <c r="C44" s="26">
        <v>1</v>
      </c>
      <c r="D44" s="26">
        <v>2</v>
      </c>
      <c r="E44" s="26">
        <v>40</v>
      </c>
      <c r="F44" s="23">
        <v>2.375</v>
      </c>
      <c r="G44" s="26">
        <v>0.154</v>
      </c>
      <c r="H44" s="26">
        <v>16</v>
      </c>
      <c r="I44" s="39">
        <f>10^3*0.06895*(2*H44*0.154)/(2.375*$C$44)</f>
        <v>143.06762105263158</v>
      </c>
      <c r="J44" s="26">
        <v>16</v>
      </c>
      <c r="K44" s="39">
        <f>10^3*0.06895*(2*J44*0.154)/(2.375*$C$44)</f>
        <v>143.06762105263158</v>
      </c>
      <c r="L44" s="26">
        <v>16</v>
      </c>
      <c r="M44" s="39">
        <f>10^3*0.06895*(2*L44*0.154)/(2.375*$C$44)</f>
        <v>143.06762105263158</v>
      </c>
      <c r="N44" s="26">
        <v>16</v>
      </c>
      <c r="O44" s="39">
        <f>10^3*0.06895*(2*N44*0.154)/(2.375*$C$44)</f>
        <v>143.06762105263158</v>
      </c>
      <c r="P44" s="26">
        <v>16</v>
      </c>
      <c r="Q44" s="39">
        <f>10^3*0.06895*(2*P44*0.154)/(2.375*$C$44)</f>
        <v>143.06762105263158</v>
      </c>
      <c r="R44" s="26">
        <v>15.3</v>
      </c>
      <c r="S44" s="39">
        <f>10^3*0.06895*(2*R44*0.154)/(2.375*$C$44)</f>
        <v>136.80841263157899</v>
      </c>
      <c r="T44" s="26">
        <v>14.6</v>
      </c>
      <c r="U44" s="39">
        <f>10^3*0.06895*(2*T44*0.154)/(2.375*$C$44)</f>
        <v>130.54920421052631</v>
      </c>
      <c r="V44" s="26">
        <v>12.5</v>
      </c>
      <c r="W44" s="39">
        <f>10^3*0.06895*(2*V44*0.154)/(2.375*$C$44)</f>
        <v>111.77157894736844</v>
      </c>
      <c r="X44" s="26">
        <v>10.7</v>
      </c>
      <c r="Y44" s="39">
        <f>10^3*0.06895*(2*X44*0.154)/(2.375*$C$44)</f>
        <v>95.676471578947371</v>
      </c>
      <c r="Z44" s="26">
        <v>9.1999999999999993</v>
      </c>
      <c r="AA44" s="40">
        <f>10^3*0.06895*(2*Z44*0.154)/(2.375*$C$44)</f>
        <v>82.26388210526315</v>
      </c>
    </row>
    <row r="45" spans="1:27" ht="18.75" x14ac:dyDescent="0.25">
      <c r="A45" s="47"/>
      <c r="B45" s="49"/>
      <c r="C45" s="26">
        <v>1</v>
      </c>
      <c r="D45" s="26">
        <v>2</v>
      </c>
      <c r="E45" s="26">
        <v>80</v>
      </c>
      <c r="F45" s="23">
        <v>2.375</v>
      </c>
      <c r="G45" s="26">
        <v>0.218</v>
      </c>
      <c r="H45" s="26">
        <v>16</v>
      </c>
      <c r="I45" s="39">
        <f>10^3*0.06895*(2*H45*0.218)/(2.375*$C$45)</f>
        <v>202.52429473684211</v>
      </c>
      <c r="J45" s="26">
        <v>16</v>
      </c>
      <c r="K45" s="39">
        <f>10^3*0.06895*(2*J45*0.218)/(2.375*$C$45)</f>
        <v>202.52429473684211</v>
      </c>
      <c r="L45" s="26">
        <v>16</v>
      </c>
      <c r="M45" s="39">
        <f>10^3*0.06895*(2*L45*0.218)/(2.375*$C$45)</f>
        <v>202.52429473684211</v>
      </c>
      <c r="N45" s="26">
        <v>16</v>
      </c>
      <c r="O45" s="39">
        <f>10^3*0.06895*(2*N45*0.218)/(2.375*$C$45)</f>
        <v>202.52429473684211</v>
      </c>
      <c r="P45" s="26">
        <v>16</v>
      </c>
      <c r="Q45" s="39">
        <f>10^3*0.06895*(2*P45*0.218)/(2.375*$C$45)</f>
        <v>202.52429473684211</v>
      </c>
      <c r="R45" s="26">
        <v>15.3</v>
      </c>
      <c r="S45" s="39">
        <f>10^3*0.06895*(2*R45*0.218)/(2.375*$C$45)</f>
        <v>193.66385684210528</v>
      </c>
      <c r="T45" s="26">
        <v>14.6</v>
      </c>
      <c r="U45" s="39">
        <f>10^3*0.06895*(2*T45*0.218)/(2.375*$C$45)</f>
        <v>184.80341894736841</v>
      </c>
      <c r="V45" s="26">
        <v>12.5</v>
      </c>
      <c r="W45" s="39">
        <f>10^3*0.06895*(2*V45*0.218)/(2.375*$C$45)</f>
        <v>158.22210526315791</v>
      </c>
      <c r="X45" s="26">
        <v>10.7</v>
      </c>
      <c r="Y45" s="39">
        <f>10^3*0.06895*(2*X45*0.218)/(2.375*$C$45)</f>
        <v>135.43812210526315</v>
      </c>
      <c r="Z45" s="26">
        <v>9.1999999999999993</v>
      </c>
      <c r="AA45" s="40">
        <f>10^3*0.06895*(2*Z45*0.218)/(2.375*$C$45)</f>
        <v>116.4514694736842</v>
      </c>
    </row>
    <row r="46" spans="1:27" ht="19.5" thickBot="1" x14ac:dyDescent="0.3">
      <c r="A46" s="47"/>
      <c r="B46" s="50"/>
      <c r="C46" s="30">
        <v>1</v>
      </c>
      <c r="D46" s="30">
        <v>2</v>
      </c>
      <c r="E46" s="30">
        <v>160</v>
      </c>
      <c r="F46" s="30">
        <v>2.375</v>
      </c>
      <c r="G46" s="30">
        <v>0.34399999999999997</v>
      </c>
      <c r="H46" s="30">
        <v>16</v>
      </c>
      <c r="I46" s="41">
        <f>10^3*0.06895*(2*H46*0.344)/(2.375*$C$46)</f>
        <v>319.57962105263158</v>
      </c>
      <c r="J46" s="30">
        <v>16</v>
      </c>
      <c r="K46" s="41">
        <f>10^3*0.06895*(2*J46*0.344)/(2.375*$C$46)</f>
        <v>319.57962105263158</v>
      </c>
      <c r="L46" s="30">
        <v>16</v>
      </c>
      <c r="M46" s="41">
        <f>10^3*0.06895*(2*L46*0.344)/(2.375*$C$46)</f>
        <v>319.57962105263158</v>
      </c>
      <c r="N46" s="30">
        <v>16</v>
      </c>
      <c r="O46" s="41">
        <f>10^3*0.06895*(2*N46*0.344)/(2.375*$C$46)</f>
        <v>319.57962105263158</v>
      </c>
      <c r="P46" s="30">
        <v>16</v>
      </c>
      <c r="Q46" s="41">
        <f>10^3*0.06895*(2*P46*0.344)/(2.375*$C$46)</f>
        <v>319.57962105263158</v>
      </c>
      <c r="R46" s="30">
        <v>15.3</v>
      </c>
      <c r="S46" s="41">
        <f>10^3*0.06895*(2*R46*0.344)/(2.375*$C$46)</f>
        <v>305.59801263157891</v>
      </c>
      <c r="T46" s="30">
        <v>14.6</v>
      </c>
      <c r="U46" s="41">
        <f>10^3*0.06895*(2*T46*0.344)/(2.375*$C$46)</f>
        <v>291.6164042105263</v>
      </c>
      <c r="V46" s="30">
        <v>12.5</v>
      </c>
      <c r="W46" s="41">
        <f>10^3*0.06895*(2*V46*0.344)/(2.375*$C$46)</f>
        <v>249.67157894736843</v>
      </c>
      <c r="X46" s="30">
        <v>10.7</v>
      </c>
      <c r="Y46" s="41">
        <f>10^3*0.06895*(2*X46*0.344)/(2.375*$C$46)</f>
        <v>213.71887157894736</v>
      </c>
      <c r="Z46" s="30">
        <v>9.1999999999999993</v>
      </c>
      <c r="AA46" s="42">
        <f>10^3*0.06895*(2*Z46*0.344)/(2.375*$C$46)</f>
        <v>183.75828210526313</v>
      </c>
    </row>
    <row r="47" spans="1:27" ht="18.75" x14ac:dyDescent="0.25">
      <c r="A47" s="47"/>
      <c r="B47" s="48" t="s">
        <v>1</v>
      </c>
      <c r="C47" s="21">
        <v>1</v>
      </c>
      <c r="D47" s="21">
        <v>2</v>
      </c>
      <c r="E47" s="21">
        <v>5</v>
      </c>
      <c r="F47" s="23">
        <v>2.375</v>
      </c>
      <c r="G47" s="21">
        <v>6.5000000000000002E-2</v>
      </c>
      <c r="H47" s="21">
        <v>20</v>
      </c>
      <c r="I47" s="37">
        <f>10^3*0.06895*(2*H47*0.065)/(2.375*C47)</f>
        <v>75.482105263157905</v>
      </c>
      <c r="J47" s="21">
        <v>20</v>
      </c>
      <c r="K47" s="37">
        <f>10^3*0.06895*(2*J47*0.065)/(2.375*$C$41)</f>
        <v>75.482105263157905</v>
      </c>
      <c r="L47" s="21">
        <v>20</v>
      </c>
      <c r="M47" s="37">
        <f>10^3*0.06895*(2*L47*0.065)/(2.375*$C$41)</f>
        <v>75.482105263157905</v>
      </c>
      <c r="N47" s="21">
        <v>19.899999999999999</v>
      </c>
      <c r="O47" s="37">
        <f>10^3*0.06895*(2*N47*0.065)/(2.375*$C$41)</f>
        <v>75.104694736842106</v>
      </c>
      <c r="P47" s="21">
        <v>19</v>
      </c>
      <c r="Q47" s="37">
        <f>10^3*0.06895*(2*P47*0.065)/(2.375*$C$41)</f>
        <v>71.708000000000013</v>
      </c>
      <c r="R47" s="21">
        <v>17.899999999999999</v>
      </c>
      <c r="S47" s="37">
        <f>10^3*0.06895*(2*R47*0.065)/(2.375*$C$41)</f>
        <v>67.556484210526321</v>
      </c>
      <c r="T47" s="21">
        <v>17.3</v>
      </c>
      <c r="U47" s="37">
        <f>10^3*0.06895*(2*T47*0.065)/(2.375*$C$41)</f>
        <v>65.292021052631583</v>
      </c>
      <c r="V47" s="21">
        <v>16.7</v>
      </c>
      <c r="W47" s="37">
        <f>10^3*0.06895*(2*V47*0.065)/(2.375*$C$41)</f>
        <v>63.027557894736844</v>
      </c>
      <c r="X47" s="21">
        <v>13.9</v>
      </c>
      <c r="Y47" s="37">
        <f>10^3*0.06895*(2*X47*0.065)/(2.375*$C$41)</f>
        <v>52.460063157894744</v>
      </c>
      <c r="Z47" s="21">
        <v>11.4</v>
      </c>
      <c r="AA47" s="38">
        <f>10^3*0.06895*(2*Z47*0.065)/(2.375*$C$41)</f>
        <v>43.024800000000006</v>
      </c>
    </row>
    <row r="48" spans="1:27" ht="18.75" x14ac:dyDescent="0.25">
      <c r="A48" s="47"/>
      <c r="B48" s="49"/>
      <c r="C48" s="26">
        <v>1</v>
      </c>
      <c r="D48" s="26">
        <v>2</v>
      </c>
      <c r="E48" s="26">
        <v>10</v>
      </c>
      <c r="F48" s="23">
        <v>2.375</v>
      </c>
      <c r="G48" s="26">
        <v>0.109</v>
      </c>
      <c r="H48" s="26">
        <v>20</v>
      </c>
      <c r="I48" s="39">
        <f>10^3*0.06895*(2*H48*0.109)/(2.375*C48)</f>
        <v>126.57768421052633</v>
      </c>
      <c r="J48" s="26">
        <v>20</v>
      </c>
      <c r="K48" s="39">
        <f>10^3*0.06895*(2*J48*0.109)/(2.375*$C$42)</f>
        <v>126.57768421052633</v>
      </c>
      <c r="L48" s="26">
        <v>20</v>
      </c>
      <c r="M48" s="39">
        <f>10^3*0.06895*(2*L48*0.109)/(2.375*$C$42)</f>
        <v>126.57768421052633</v>
      </c>
      <c r="N48" s="26">
        <v>19.899999999999999</v>
      </c>
      <c r="O48" s="39">
        <f>10^3*0.06895*(2*N48*0.109)/(2.375*$C$42)</f>
        <v>125.94479578947367</v>
      </c>
      <c r="P48" s="26">
        <v>19</v>
      </c>
      <c r="Q48" s="39">
        <f>10^3*0.06895*(2*P48*0.109)/(2.375*$C$42)</f>
        <v>120.24880000000002</v>
      </c>
      <c r="R48" s="26">
        <v>17.899999999999999</v>
      </c>
      <c r="S48" s="39">
        <f>10^3*0.06895*(2*R48*0.109)/(2.375*$C$42)</f>
        <v>113.28702736842105</v>
      </c>
      <c r="T48" s="26">
        <v>17.3</v>
      </c>
      <c r="U48" s="39">
        <f>10^3*0.06895*(2*T48*0.109)/(2.375*$C$42)</f>
        <v>109.48969684210529</v>
      </c>
      <c r="V48" s="26">
        <v>16.7</v>
      </c>
      <c r="W48" s="39">
        <f>10^3*0.06895*(2*V48*0.109)/(2.375*$C$42)</f>
        <v>105.69236631578947</v>
      </c>
      <c r="X48" s="26">
        <v>13.9</v>
      </c>
      <c r="Y48" s="39">
        <f>10^3*0.06895*(2*X48*0.109)/(2.375*$C$42)</f>
        <v>87.971490526315804</v>
      </c>
      <c r="Z48" s="26">
        <v>11.4</v>
      </c>
      <c r="AA48" s="40">
        <f>10^3*0.06895*(2*Z48*0.109)/(2.375*$C$42)</f>
        <v>72.14927999999999</v>
      </c>
    </row>
    <row r="49" spans="1:27" ht="18.75" x14ac:dyDescent="0.25">
      <c r="A49" s="47"/>
      <c r="B49" s="49"/>
      <c r="C49" s="26">
        <v>1</v>
      </c>
      <c r="D49" s="26">
        <v>2</v>
      </c>
      <c r="E49" s="26">
        <v>30</v>
      </c>
      <c r="F49" s="23">
        <v>2.375</v>
      </c>
      <c r="G49" s="26">
        <v>0.125</v>
      </c>
      <c r="H49" s="26">
        <v>20</v>
      </c>
      <c r="I49" s="39">
        <f>10^3*0.06895*(2*H49*0.125)/(2.375*C49)</f>
        <v>145.15789473684211</v>
      </c>
      <c r="J49" s="26">
        <v>20</v>
      </c>
      <c r="K49" s="39">
        <f>10^3*0.06895*(2*J49*0.125)/(2.375*$C$43)</f>
        <v>145.15789473684211</v>
      </c>
      <c r="L49" s="26">
        <v>20</v>
      </c>
      <c r="M49" s="39">
        <f>10^3*0.06895*(2*L49*0.125)/(2.375*$C$43)</f>
        <v>145.15789473684211</v>
      </c>
      <c r="N49" s="26">
        <v>19.899999999999999</v>
      </c>
      <c r="O49" s="39">
        <f>10^3*0.06895*(2*N49*0.125)/(2.375*$C$43)</f>
        <v>144.43210526315789</v>
      </c>
      <c r="P49" s="26">
        <v>19</v>
      </c>
      <c r="Q49" s="39">
        <f>10^3*0.06895*(2*P49*0.125)/(2.375*$C$43)</f>
        <v>137.9</v>
      </c>
      <c r="R49" s="26">
        <v>17.899999999999999</v>
      </c>
      <c r="S49" s="39">
        <f>10^3*0.06895*(2*R49*0.125)/(2.375*$C$43)</f>
        <v>129.91631578947369</v>
      </c>
      <c r="T49" s="26">
        <v>17.3</v>
      </c>
      <c r="U49" s="39">
        <f>10^3*0.06895*(2*T49*0.125)/(2.375*$C$43)</f>
        <v>125.56157894736843</v>
      </c>
      <c r="V49" s="26">
        <v>16.7</v>
      </c>
      <c r="W49" s="39">
        <f>10^3*0.06895*(2*V49*0.125)/(2.375*$C$43)</f>
        <v>121.20684210526315</v>
      </c>
      <c r="X49" s="26">
        <v>13.9</v>
      </c>
      <c r="Y49" s="39">
        <f>10^3*0.06895*(2*X49*0.125)/(2.375*$C$43)</f>
        <v>100.88473684210527</v>
      </c>
      <c r="Z49" s="26">
        <v>11.4</v>
      </c>
      <c r="AA49" s="40">
        <f>10^3*0.06895*(2*Z49*0.125)/(2.375*$C$43)</f>
        <v>82.740000000000009</v>
      </c>
    </row>
    <row r="50" spans="1:27" ht="18.75" x14ac:dyDescent="0.25">
      <c r="A50" s="47"/>
      <c r="B50" s="49"/>
      <c r="C50" s="26">
        <v>1</v>
      </c>
      <c r="D50" s="26">
        <v>2</v>
      </c>
      <c r="E50" s="26">
        <v>40</v>
      </c>
      <c r="F50" s="23">
        <v>2.375</v>
      </c>
      <c r="G50" s="26">
        <v>0.154</v>
      </c>
      <c r="H50" s="26">
        <v>20</v>
      </c>
      <c r="I50" s="39">
        <f>10^3*0.06895*(2*H50*0.154)/(2.375*C50)</f>
        <v>178.83452631578947</v>
      </c>
      <c r="J50" s="26">
        <v>20</v>
      </c>
      <c r="K50" s="39">
        <f>10^3*0.06895*(2*J50*0.154)/(2.375*$C$44)</f>
        <v>178.83452631578947</v>
      </c>
      <c r="L50" s="26">
        <v>20</v>
      </c>
      <c r="M50" s="39">
        <f>10^3*0.06895*(2*L50*0.154)/(2.375*$C$44)</f>
        <v>178.83452631578947</v>
      </c>
      <c r="N50" s="26">
        <v>19.899999999999999</v>
      </c>
      <c r="O50" s="39">
        <f>10^3*0.06895*(2*N50*0.154)/(2.375*$C$44)</f>
        <v>177.94035368421049</v>
      </c>
      <c r="P50" s="26">
        <v>19</v>
      </c>
      <c r="Q50" s="39">
        <f>10^3*0.06895*(2*P50*0.154)/(2.375*$C$44)</f>
        <v>169.89279999999999</v>
      </c>
      <c r="R50" s="26">
        <v>17.899999999999999</v>
      </c>
      <c r="S50" s="39">
        <f>10^3*0.06895*(2*R50*0.154)/(2.375*$C$44)</f>
        <v>160.05690105263156</v>
      </c>
      <c r="T50" s="26">
        <v>17.3</v>
      </c>
      <c r="U50" s="39">
        <f>10^3*0.06895*(2*T50*0.154)/(2.375*$C$44)</f>
        <v>154.69186526315789</v>
      </c>
      <c r="V50" s="26">
        <v>16.7</v>
      </c>
      <c r="W50" s="39">
        <f>10^3*0.06895*(2*V50*0.154)/(2.375*$C$44)</f>
        <v>149.3268294736842</v>
      </c>
      <c r="X50" s="26">
        <v>13.9</v>
      </c>
      <c r="Y50" s="39">
        <f>10^3*0.06895*(2*X50*0.154)/(2.375*$C$44)</f>
        <v>124.28999578947368</v>
      </c>
      <c r="Z50" s="26">
        <v>11.4</v>
      </c>
      <c r="AA50" s="40">
        <f>10^3*0.06895*(2*Z50*0.154)/(2.375*$C$44)</f>
        <v>101.93568</v>
      </c>
    </row>
    <row r="51" spans="1:27" ht="18.75" x14ac:dyDescent="0.25">
      <c r="A51" s="47"/>
      <c r="B51" s="49"/>
      <c r="C51" s="26">
        <v>1</v>
      </c>
      <c r="D51" s="26">
        <v>2</v>
      </c>
      <c r="E51" s="26">
        <v>80</v>
      </c>
      <c r="F51" s="23">
        <v>2.375</v>
      </c>
      <c r="G51" s="26">
        <v>0.218</v>
      </c>
      <c r="H51" s="26">
        <v>20</v>
      </c>
      <c r="I51" s="39">
        <f>10^3*0.06895*(2*H51*0.218)/(2.375*C51)</f>
        <v>253.15536842105266</v>
      </c>
      <c r="J51" s="26">
        <v>20</v>
      </c>
      <c r="K51" s="39">
        <f>10^3*0.06895*(2*J51*0.218)/(2.375*$C$45)</f>
        <v>253.15536842105266</v>
      </c>
      <c r="L51" s="26">
        <v>20</v>
      </c>
      <c r="M51" s="39">
        <f>10^3*0.06895*(2*L51*0.218)/(2.375*$C$45)</f>
        <v>253.15536842105266</v>
      </c>
      <c r="N51" s="26">
        <v>19.899999999999999</v>
      </c>
      <c r="O51" s="39">
        <f>10^3*0.06895*(2*N51*0.218)/(2.375*$C$45)</f>
        <v>251.88959157894735</v>
      </c>
      <c r="P51" s="26">
        <v>19</v>
      </c>
      <c r="Q51" s="39">
        <f>10^3*0.06895*(2*P51*0.218)/(2.375*$C$45)</f>
        <v>240.49760000000003</v>
      </c>
      <c r="R51" s="26">
        <v>17.899999999999999</v>
      </c>
      <c r="S51" s="39">
        <f>10^3*0.06895*(2*R51*0.218)/(2.375*$C$45)</f>
        <v>226.5740547368421</v>
      </c>
      <c r="T51" s="26">
        <v>17.3</v>
      </c>
      <c r="U51" s="39">
        <f>10^3*0.06895*(2*T51*0.218)/(2.375*$C$45)</f>
        <v>218.97939368421058</v>
      </c>
      <c r="V51" s="26">
        <v>16.7</v>
      </c>
      <c r="W51" s="39">
        <f>10^3*0.06895*(2*V51*0.218)/(2.375*$C$45)</f>
        <v>211.38473263157894</v>
      </c>
      <c r="X51" s="26">
        <v>13.9</v>
      </c>
      <c r="Y51" s="39">
        <f>10^3*0.06895*(2*X51*0.218)/(2.375*$C$45)</f>
        <v>175.94298105263161</v>
      </c>
      <c r="Z51" s="26">
        <v>11.4</v>
      </c>
      <c r="AA51" s="40">
        <f>10^3*0.06895*(2*Z51*0.218)/(2.375*$C$45)</f>
        <v>144.29855999999998</v>
      </c>
    </row>
    <row r="52" spans="1:27" ht="19.5" thickBot="1" x14ac:dyDescent="0.3">
      <c r="A52" s="47"/>
      <c r="B52" s="50"/>
      <c r="C52" s="30">
        <v>1</v>
      </c>
      <c r="D52" s="30">
        <v>2</v>
      </c>
      <c r="E52" s="30">
        <v>160</v>
      </c>
      <c r="F52" s="30">
        <v>2.375</v>
      </c>
      <c r="G52" s="30">
        <v>0.34399999999999997</v>
      </c>
      <c r="H52" s="30">
        <v>20</v>
      </c>
      <c r="I52" s="41">
        <f>10^3*0.06895*(2*H52*0.344)/(2.375*C52)</f>
        <v>399.47452631578943</v>
      </c>
      <c r="J52" s="30">
        <v>20</v>
      </c>
      <c r="K52" s="41">
        <f>10^3*0.06895*(2*J52*0.344)/(2.375*$C$46)</f>
        <v>399.47452631578943</v>
      </c>
      <c r="L52" s="30">
        <v>20</v>
      </c>
      <c r="M52" s="41">
        <f>10^3*0.06895*(2*L52*0.344)/(2.375*$C$46)</f>
        <v>399.47452631578943</v>
      </c>
      <c r="N52" s="30">
        <v>19.899999999999999</v>
      </c>
      <c r="O52" s="41">
        <f>10^3*0.06895*(2*N52*0.344)/(2.375*$C$46)</f>
        <v>397.47715368421046</v>
      </c>
      <c r="P52" s="30">
        <v>19</v>
      </c>
      <c r="Q52" s="41">
        <f>10^3*0.06895*(2*P52*0.344)/(2.375*$C$46)</f>
        <v>379.50079999999997</v>
      </c>
      <c r="R52" s="30">
        <v>17.899999999999999</v>
      </c>
      <c r="S52" s="41">
        <f>10^3*0.06895*(2*R52*0.344)/(2.375*$C$46)</f>
        <v>357.52970105263148</v>
      </c>
      <c r="T52" s="30">
        <v>17.3</v>
      </c>
      <c r="U52" s="41">
        <f>10^3*0.06895*(2*T52*0.344)/(2.375*$C$46)</f>
        <v>345.54546526315789</v>
      </c>
      <c r="V52" s="30">
        <v>16.7</v>
      </c>
      <c r="W52" s="41">
        <f>10^3*0.06895*(2*V52*0.344)/(2.375*$C$46)</f>
        <v>333.56122947368419</v>
      </c>
      <c r="X52" s="30">
        <v>13.9</v>
      </c>
      <c r="Y52" s="41">
        <f>10^3*0.06895*(2*X52*0.344)/(2.375*$C$46)</f>
        <v>277.63479578947369</v>
      </c>
      <c r="Z52" s="30">
        <v>11.4</v>
      </c>
      <c r="AA52" s="42">
        <f>10^3*0.06895*(2*Z52*0.344)/(2.375*$C$46)</f>
        <v>227.70048</v>
      </c>
    </row>
    <row r="53" spans="1:27" ht="18.75" x14ac:dyDescent="0.25">
      <c r="A53" s="47"/>
      <c r="B53" s="48" t="s">
        <v>6</v>
      </c>
      <c r="C53" s="21">
        <v>1</v>
      </c>
      <c r="D53" s="21">
        <v>2</v>
      </c>
      <c r="E53" s="21">
        <v>5</v>
      </c>
      <c r="F53" s="23">
        <v>2.375</v>
      </c>
      <c r="G53" s="21">
        <v>6.5000000000000002E-2</v>
      </c>
      <c r="H53" s="34">
        <v>23.3</v>
      </c>
      <c r="I53" s="37">
        <f>10^3*0.06895*(2*H53*0.065)/(2.375*C53)</f>
        <v>87.936652631578951</v>
      </c>
      <c r="J53" s="34">
        <v>23.3</v>
      </c>
      <c r="K53" s="37">
        <f>10^3*0.06895*(2*J53*0.065)/(2.375*$C$41)</f>
        <v>87.936652631578951</v>
      </c>
      <c r="L53" s="34">
        <v>23.3</v>
      </c>
      <c r="M53" s="37">
        <f>10^3*0.06895*(2*L53*0.065)/(2.375*$C$41)</f>
        <v>87.936652631578951</v>
      </c>
      <c r="N53" s="34">
        <v>22.8</v>
      </c>
      <c r="O53" s="37">
        <f>10^3*0.06895*(2*N53*0.065)/(2.375*$C$41)</f>
        <v>86.049600000000012</v>
      </c>
      <c r="P53" s="34">
        <v>21.7</v>
      </c>
      <c r="Q53" s="37">
        <f>10^3*0.06895*(2*P53*0.065)/(2.375*$C$41)</f>
        <v>81.898084210526321</v>
      </c>
      <c r="R53" s="34">
        <v>20.399999999999999</v>
      </c>
      <c r="S53" s="37">
        <f>10^3*0.06895*(2*R53*0.065)/(2.375*$C$41)</f>
        <v>76.991747368421045</v>
      </c>
      <c r="T53" s="34">
        <v>19.8</v>
      </c>
      <c r="U53" s="37">
        <f>10^3*0.06895*(2*T53*0.065)/(2.375*$C$41)</f>
        <v>74.727284210526321</v>
      </c>
      <c r="V53" s="34">
        <v>18.3</v>
      </c>
      <c r="W53" s="37">
        <f>10^3*0.06895*(2*V53*0.065)/(2.375*$C$41)</f>
        <v>69.066126315789475</v>
      </c>
      <c r="X53" s="34">
        <v>14.8</v>
      </c>
      <c r="Y53" s="37">
        <f>10^3*0.06895*(2*X53*0.065)/(2.375*$C$41)</f>
        <v>55.856757894736852</v>
      </c>
      <c r="Z53" s="34">
        <v>12</v>
      </c>
      <c r="AA53" s="38">
        <f>10^3*0.06895*(2*Z53*0.065)/(2.375*$C$41)</f>
        <v>45.289263157894744</v>
      </c>
    </row>
    <row r="54" spans="1:27" ht="18.75" x14ac:dyDescent="0.25">
      <c r="A54" s="47"/>
      <c r="B54" s="49"/>
      <c r="C54" s="26">
        <v>1</v>
      </c>
      <c r="D54" s="26">
        <v>2</v>
      </c>
      <c r="E54" s="26">
        <v>10</v>
      </c>
      <c r="F54" s="23">
        <v>2.375</v>
      </c>
      <c r="G54" s="26">
        <v>0.109</v>
      </c>
      <c r="H54" s="35">
        <v>23.3</v>
      </c>
      <c r="I54" s="39">
        <f>10^3*0.06895*(2*H54*0.109)/(2.375*C54)</f>
        <v>147.46300210526317</v>
      </c>
      <c r="J54" s="35">
        <v>23.3</v>
      </c>
      <c r="K54" s="39">
        <f>10^3*0.06895*(2*J54*0.109)/(2.375*$C$42)</f>
        <v>147.46300210526317</v>
      </c>
      <c r="L54" s="35">
        <v>23.3</v>
      </c>
      <c r="M54" s="39">
        <f>10^3*0.06895*(2*L54*0.109)/(2.375*$C$42)</f>
        <v>147.46300210526317</v>
      </c>
      <c r="N54" s="35">
        <v>22.8</v>
      </c>
      <c r="O54" s="39">
        <f>10^3*0.06895*(2*N54*0.109)/(2.375*$C$42)</f>
        <v>144.29855999999998</v>
      </c>
      <c r="P54" s="35">
        <v>21.7</v>
      </c>
      <c r="Q54" s="39">
        <f>10^3*0.06895*(2*P54*0.109)/(2.375*$C$42)</f>
        <v>137.33678736842106</v>
      </c>
      <c r="R54" s="35">
        <v>20.399999999999999</v>
      </c>
      <c r="S54" s="39">
        <f>10^3*0.06895*(2*R54*0.109)/(2.375*$C$42)</f>
        <v>129.10923789473682</v>
      </c>
      <c r="T54" s="35">
        <v>19.8</v>
      </c>
      <c r="U54" s="39">
        <f>10^3*0.06895*(2*T54*0.109)/(2.375*$C$42)</f>
        <v>125.31190736842105</v>
      </c>
      <c r="V54" s="35">
        <v>18.3</v>
      </c>
      <c r="W54" s="39">
        <f>10^3*0.06895*(2*V54*0.109)/(2.375*$C$42)</f>
        <v>115.81858105263159</v>
      </c>
      <c r="X54" s="35">
        <v>14.8</v>
      </c>
      <c r="Y54" s="39">
        <f>10^3*0.06895*(2*X54*0.109)/(2.375*$C$42)</f>
        <v>93.667486315789475</v>
      </c>
      <c r="Z54" s="35">
        <v>12</v>
      </c>
      <c r="AA54" s="40">
        <f>10^3*0.06895*(2*Z54*0.109)/(2.375*$C$42)</f>
        <v>75.946610526315794</v>
      </c>
    </row>
    <row r="55" spans="1:27" ht="18.75" x14ac:dyDescent="0.25">
      <c r="A55" s="47"/>
      <c r="B55" s="49"/>
      <c r="C55" s="26">
        <v>1</v>
      </c>
      <c r="D55" s="26">
        <v>2</v>
      </c>
      <c r="E55" s="26">
        <v>30</v>
      </c>
      <c r="F55" s="23">
        <v>2.375</v>
      </c>
      <c r="G55" s="26">
        <v>0.125</v>
      </c>
      <c r="H55" s="35">
        <v>23.3</v>
      </c>
      <c r="I55" s="39">
        <f>10^3*0.06895*(2*H55*0.125)/(2.375*C55)</f>
        <v>169.10894736842107</v>
      </c>
      <c r="J55" s="35">
        <v>23.3</v>
      </c>
      <c r="K55" s="39">
        <f>10^3*0.06895*(2*J55*0.125)/(2.375*$C$43)</f>
        <v>169.10894736842107</v>
      </c>
      <c r="L55" s="35">
        <v>23.3</v>
      </c>
      <c r="M55" s="39">
        <f>10^3*0.06895*(2*L55*0.125)/(2.375*$C$43)</f>
        <v>169.10894736842107</v>
      </c>
      <c r="N55" s="35">
        <v>22.8</v>
      </c>
      <c r="O55" s="39">
        <f>10^3*0.06895*(2*N55*0.125)/(2.375*$C$43)</f>
        <v>165.48000000000002</v>
      </c>
      <c r="P55" s="35">
        <v>21.7</v>
      </c>
      <c r="Q55" s="39">
        <f>10^3*0.06895*(2*P55*0.125)/(2.375*$C$43)</f>
        <v>157.49631578947367</v>
      </c>
      <c r="R55" s="35">
        <v>20.399999999999999</v>
      </c>
      <c r="S55" s="39">
        <f>10^3*0.06895*(2*R55*0.125)/(2.375*$C$43)</f>
        <v>148.06105263157895</v>
      </c>
      <c r="T55" s="35">
        <v>19.8</v>
      </c>
      <c r="U55" s="39">
        <f>10^3*0.06895*(2*T55*0.125)/(2.375*$C$43)</f>
        <v>143.70631578947368</v>
      </c>
      <c r="V55" s="35">
        <v>18.3</v>
      </c>
      <c r="W55" s="39">
        <f>10^3*0.06895*(2*V55*0.125)/(2.375*$C$43)</f>
        <v>132.81947368421052</v>
      </c>
      <c r="X55" s="35">
        <v>14.8</v>
      </c>
      <c r="Y55" s="39">
        <f>10^3*0.06895*(2*X55*0.125)/(2.375*$C$43)</f>
        <v>107.41684210526316</v>
      </c>
      <c r="Z55" s="35">
        <v>12</v>
      </c>
      <c r="AA55" s="40">
        <f>10^3*0.06895*(2*Z55*0.125)/(2.375*$C$43)</f>
        <v>87.094736842105277</v>
      </c>
    </row>
    <row r="56" spans="1:27" ht="18.75" x14ac:dyDescent="0.25">
      <c r="A56" s="47"/>
      <c r="B56" s="49"/>
      <c r="C56" s="26">
        <v>1</v>
      </c>
      <c r="D56" s="26">
        <v>2</v>
      </c>
      <c r="E56" s="26">
        <v>40</v>
      </c>
      <c r="F56" s="23">
        <v>2.375</v>
      </c>
      <c r="G56" s="26">
        <v>0.154</v>
      </c>
      <c r="H56" s="35">
        <v>23.3</v>
      </c>
      <c r="I56" s="39">
        <f>10^3*0.06895*(2*H56*0.154)/(2.375*C56)</f>
        <v>208.34222315789475</v>
      </c>
      <c r="J56" s="35">
        <v>23.3</v>
      </c>
      <c r="K56" s="39">
        <f>10^3*0.06895*(2*J56*0.154)/(2.375*$C$44)</f>
        <v>208.34222315789475</v>
      </c>
      <c r="L56" s="35">
        <v>23.3</v>
      </c>
      <c r="M56" s="39">
        <f>10^3*0.06895*(2*L56*0.154)/(2.375*$C$44)</f>
        <v>208.34222315789475</v>
      </c>
      <c r="N56" s="35">
        <v>22.8</v>
      </c>
      <c r="O56" s="39">
        <f>10^3*0.06895*(2*N56*0.154)/(2.375*$C$44)</f>
        <v>203.87136000000001</v>
      </c>
      <c r="P56" s="35">
        <v>21.7</v>
      </c>
      <c r="Q56" s="39">
        <f>10^3*0.06895*(2*P56*0.154)/(2.375*$C$44)</f>
        <v>194.03546105263158</v>
      </c>
      <c r="R56" s="35">
        <v>20.399999999999999</v>
      </c>
      <c r="S56" s="39">
        <f>10^3*0.06895*(2*R56*0.154)/(2.375*$C$44)</f>
        <v>182.41121684210529</v>
      </c>
      <c r="T56" s="35">
        <v>19.8</v>
      </c>
      <c r="U56" s="39">
        <f>10^3*0.06895*(2*T56*0.154)/(2.375*$C$44)</f>
        <v>177.0461810526316</v>
      </c>
      <c r="V56" s="35">
        <v>18.3</v>
      </c>
      <c r="W56" s="39">
        <f>10^3*0.06895*(2*V56*0.154)/(2.375*$C$44)</f>
        <v>163.63359157894737</v>
      </c>
      <c r="X56" s="35">
        <v>14.8</v>
      </c>
      <c r="Y56" s="39">
        <f>10^3*0.06895*(2*X56*0.154)/(2.375*$C$44)</f>
        <v>132.33754947368419</v>
      </c>
      <c r="Z56" s="35">
        <v>12</v>
      </c>
      <c r="AA56" s="40">
        <f>10^3*0.06895*(2*Z56*0.154)/(2.375*$C$44)</f>
        <v>107.30071578947368</v>
      </c>
    </row>
    <row r="57" spans="1:27" ht="18.75" x14ac:dyDescent="0.25">
      <c r="A57" s="47"/>
      <c r="B57" s="49"/>
      <c r="C57" s="26">
        <v>1</v>
      </c>
      <c r="D57" s="26">
        <v>2</v>
      </c>
      <c r="E57" s="26">
        <v>80</v>
      </c>
      <c r="F57" s="23">
        <v>2.375</v>
      </c>
      <c r="G57" s="26">
        <v>0.218</v>
      </c>
      <c r="H57" s="35">
        <v>23.3</v>
      </c>
      <c r="I57" s="39">
        <f>10^3*0.06895*(2*H57*0.218)/(2.375*C57)</f>
        <v>294.92600421052634</v>
      </c>
      <c r="J57" s="35">
        <v>23.3</v>
      </c>
      <c r="K57" s="39">
        <f>10^3*0.06895*(2*J57*0.218)/(2.375*$C$45)</f>
        <v>294.92600421052634</v>
      </c>
      <c r="L57" s="35">
        <v>23.3</v>
      </c>
      <c r="M57" s="39">
        <f>10^3*0.06895*(2*L57*0.218)/(2.375*$C$45)</f>
        <v>294.92600421052634</v>
      </c>
      <c r="N57" s="35">
        <v>22.8</v>
      </c>
      <c r="O57" s="39">
        <f>10^3*0.06895*(2*N57*0.218)/(2.375*$C$45)</f>
        <v>288.59711999999996</v>
      </c>
      <c r="P57" s="35">
        <v>21.7</v>
      </c>
      <c r="Q57" s="39">
        <f>10^3*0.06895*(2*P57*0.218)/(2.375*$C$45)</f>
        <v>274.67357473684211</v>
      </c>
      <c r="R57" s="35">
        <v>20.399999999999999</v>
      </c>
      <c r="S57" s="39">
        <f>10^3*0.06895*(2*R57*0.218)/(2.375*$C$45)</f>
        <v>258.21847578947364</v>
      </c>
      <c r="T57" s="35">
        <v>19.8</v>
      </c>
      <c r="U57" s="39">
        <f>10^3*0.06895*(2*T57*0.218)/(2.375*$C$45)</f>
        <v>250.62381473684209</v>
      </c>
      <c r="V57" s="35">
        <v>18.3</v>
      </c>
      <c r="W57" s="39">
        <f>10^3*0.06895*(2*V57*0.218)/(2.375*$C$45)</f>
        <v>231.63716210526317</v>
      </c>
      <c r="X57" s="35">
        <v>14.8</v>
      </c>
      <c r="Y57" s="39">
        <f>10^3*0.06895*(2*X57*0.218)/(2.375*$C$45)</f>
        <v>187.33497263157895</v>
      </c>
      <c r="Z57" s="35">
        <v>12</v>
      </c>
      <c r="AA57" s="40">
        <f>10^3*0.06895*(2*Z57*0.218)/(2.375*$C$45)</f>
        <v>151.89322105263159</v>
      </c>
    </row>
    <row r="58" spans="1:27" ht="19.5" thickBot="1" x14ac:dyDescent="0.3">
      <c r="A58" s="47"/>
      <c r="B58" s="50"/>
      <c r="C58" s="30">
        <v>1</v>
      </c>
      <c r="D58" s="30">
        <v>2</v>
      </c>
      <c r="E58" s="30">
        <v>160</v>
      </c>
      <c r="F58" s="30">
        <v>2.375</v>
      </c>
      <c r="G58" s="30">
        <v>0.34399999999999997</v>
      </c>
      <c r="H58" s="36">
        <v>23.3</v>
      </c>
      <c r="I58" s="41">
        <f>10^3*0.06895*(2*H58*0.344)/(2.375*C58)</f>
        <v>465.38782315789479</v>
      </c>
      <c r="J58" s="36">
        <v>23.3</v>
      </c>
      <c r="K58" s="41">
        <f>10^3*0.06895*(2*J58*0.344)/(2.375*$C$46)</f>
        <v>465.38782315789479</v>
      </c>
      <c r="L58" s="36">
        <v>23.3</v>
      </c>
      <c r="M58" s="41">
        <f>10^3*0.06895*(2*L58*0.344)/(2.375*$C$46)</f>
        <v>465.38782315789479</v>
      </c>
      <c r="N58" s="36">
        <v>22.8</v>
      </c>
      <c r="O58" s="41">
        <f>10^3*0.06895*(2*N58*0.344)/(2.375*$C$46)</f>
        <v>455.40096</v>
      </c>
      <c r="P58" s="36">
        <v>21.7</v>
      </c>
      <c r="Q58" s="41">
        <f>10^3*0.06895*(2*P58*0.344)/(2.375*$C$46)</f>
        <v>433.42986105263157</v>
      </c>
      <c r="R58" s="36">
        <v>20.399999999999999</v>
      </c>
      <c r="S58" s="41">
        <f>10^3*0.06895*(2*R58*0.344)/(2.375*$C$46)</f>
        <v>407.4640168421052</v>
      </c>
      <c r="T58" s="36">
        <v>19.8</v>
      </c>
      <c r="U58" s="41">
        <f>10^3*0.06895*(2*T58*0.344)/(2.375*$C$46)</f>
        <v>395.47978105263155</v>
      </c>
      <c r="V58" s="36">
        <v>18.3</v>
      </c>
      <c r="W58" s="41">
        <f>10^3*0.06895*(2*V58*0.344)/(2.375*$C$46)</f>
        <v>365.51919157894736</v>
      </c>
      <c r="X58" s="36">
        <v>14.8</v>
      </c>
      <c r="Y58" s="41">
        <f>10^3*0.06895*(2*X58*0.344)/(2.375*$C$46)</f>
        <v>295.61114947368418</v>
      </c>
      <c r="Z58" s="36">
        <v>12</v>
      </c>
      <c r="AA58" s="42">
        <f>10^3*0.06895*(2*Z58*0.344)/(2.375*$C$46)</f>
        <v>239.6847157894737</v>
      </c>
    </row>
    <row r="59" spans="1:27" x14ac:dyDescent="0.25">
      <c r="A59" s="43" t="s">
        <v>5</v>
      </c>
      <c r="B59" s="44" t="s">
        <v>2</v>
      </c>
      <c r="C59" s="3">
        <v>1</v>
      </c>
      <c r="D59" s="3">
        <v>3</v>
      </c>
      <c r="E59" s="3">
        <v>5</v>
      </c>
      <c r="F59" s="3">
        <v>3.5</v>
      </c>
      <c r="G59" s="3">
        <v>8.3000000000000004E-2</v>
      </c>
      <c r="H59" s="3">
        <v>16</v>
      </c>
      <c r="I59" s="9">
        <f>10^3*0.06895*(2*H59*0.083)/(3.5*$C$59)</f>
        <v>52.3232</v>
      </c>
      <c r="J59" s="3">
        <v>16</v>
      </c>
      <c r="K59" s="9">
        <f>10^3*0.06895*(2*J59*0.083)/(3.5*$C$59)</f>
        <v>52.3232</v>
      </c>
      <c r="L59" s="3">
        <v>16</v>
      </c>
      <c r="M59" s="9">
        <f>10^3*0.06895*(2*L59*0.083)/(3.5*$C$59)</f>
        <v>52.3232</v>
      </c>
      <c r="N59" s="3">
        <v>16</v>
      </c>
      <c r="O59" s="9">
        <f>10^3*0.06895*(2*N59*0.083)/(3.5*$C$59)</f>
        <v>52.3232</v>
      </c>
      <c r="P59" s="3">
        <v>16</v>
      </c>
      <c r="Q59" s="9">
        <f>10^3*0.06895*(2*P59*0.083)/(3.5*$C$59)</f>
        <v>52.3232</v>
      </c>
      <c r="R59" s="3">
        <v>15.3</v>
      </c>
      <c r="S59" s="9">
        <f>10^3*0.06895*(2*R59*0.083)/(3.5*$C$59)</f>
        <v>50.034060000000004</v>
      </c>
      <c r="T59" s="3">
        <v>14.6</v>
      </c>
      <c r="U59" s="9">
        <f>10^3*0.06895*(2*T59*0.083)/(3.5*$C$59)</f>
        <v>47.74492</v>
      </c>
      <c r="V59" s="3">
        <v>12.5</v>
      </c>
      <c r="W59" s="9">
        <f>10^3*0.06895*(2*V59*0.083)/(3.5*$C$59)</f>
        <v>40.877500000000005</v>
      </c>
      <c r="X59" s="3">
        <v>10.7</v>
      </c>
      <c r="Y59" s="9">
        <f>10^3*0.06895*(2*X59*0.083)/(3.5*$C$59)</f>
        <v>34.991140000000001</v>
      </c>
      <c r="Z59" s="3">
        <v>9.1999999999999993</v>
      </c>
      <c r="AA59" s="10">
        <f>10^3*0.06895*(2*Z59*0.083)/(3.5*$C$59)</f>
        <v>30.085839999999997</v>
      </c>
    </row>
    <row r="60" spans="1:27" x14ac:dyDescent="0.25">
      <c r="A60" s="43"/>
      <c r="B60" s="45"/>
      <c r="C60" s="4">
        <v>1</v>
      </c>
      <c r="D60" s="4">
        <v>3</v>
      </c>
      <c r="E60" s="4">
        <v>10</v>
      </c>
      <c r="F60" s="4">
        <v>3.5</v>
      </c>
      <c r="G60" s="4">
        <v>0.12</v>
      </c>
      <c r="H60" s="4">
        <v>16</v>
      </c>
      <c r="I60" s="11">
        <f>10^3*0.06895*(2*H60*0.12)/(3.5*$C$60)</f>
        <v>75.64800000000001</v>
      </c>
      <c r="J60" s="4">
        <v>16</v>
      </c>
      <c r="K60" s="11">
        <f>10^3*0.06895*(2*J60*0.12)/(3.5*$C$60)</f>
        <v>75.64800000000001</v>
      </c>
      <c r="L60" s="4">
        <v>16</v>
      </c>
      <c r="M60" s="11">
        <f>10^3*0.06895*(2*L60*0.12)/(3.5*$C$60)</f>
        <v>75.64800000000001</v>
      </c>
      <c r="N60" s="4">
        <v>16</v>
      </c>
      <c r="O60" s="11">
        <f>10^3*0.06895*(2*N60*0.12)/(3.5*$C$60)</f>
        <v>75.64800000000001</v>
      </c>
      <c r="P60" s="4">
        <v>16</v>
      </c>
      <c r="Q60" s="11">
        <f>10^3*0.06895*(2*P60*0.12)/(3.5*$C$60)</f>
        <v>75.64800000000001</v>
      </c>
      <c r="R60" s="4">
        <v>15.3</v>
      </c>
      <c r="S60" s="11">
        <f>10^3*0.06895*(2*R60*0.12)/(3.5*$C$60)</f>
        <v>72.338400000000007</v>
      </c>
      <c r="T60" s="4">
        <v>14.6</v>
      </c>
      <c r="U60" s="11">
        <f>10^3*0.06895*(2*T60*0.12)/(3.5*$C$60)</f>
        <v>69.028800000000004</v>
      </c>
      <c r="V60" s="4">
        <v>12.5</v>
      </c>
      <c r="W60" s="11">
        <f>10^3*0.06895*(2*V60*0.12)/(3.5*$C$60)</f>
        <v>59.100000000000009</v>
      </c>
      <c r="X60" s="4">
        <v>10.7</v>
      </c>
      <c r="Y60" s="11">
        <f>10^3*0.06895*(2*X60*0.12)/(3.5*$C$60)</f>
        <v>50.589599999999997</v>
      </c>
      <c r="Z60" s="4">
        <v>9.1999999999999993</v>
      </c>
      <c r="AA60" s="12">
        <f>10^3*0.06895*(2*Z60*0.12)/(3.5*$C$60)</f>
        <v>43.497599999999991</v>
      </c>
    </row>
    <row r="61" spans="1:27" x14ac:dyDescent="0.25">
      <c r="A61" s="43"/>
      <c r="B61" s="45"/>
      <c r="C61" s="4">
        <v>1</v>
      </c>
      <c r="D61" s="4">
        <v>3</v>
      </c>
      <c r="E61" s="4">
        <v>30</v>
      </c>
      <c r="F61" s="4">
        <v>3.5</v>
      </c>
      <c r="G61" s="4">
        <v>0.188</v>
      </c>
      <c r="H61" s="4">
        <v>16</v>
      </c>
      <c r="I61" s="11">
        <f>10^3*0.06895*(2*H61*0.188)/(3.5*$C$61)</f>
        <v>118.51520000000001</v>
      </c>
      <c r="J61" s="4">
        <v>16</v>
      </c>
      <c r="K61" s="11">
        <f>10^3*0.06895*(2*J61*0.188)/(3.5*$C$61)</f>
        <v>118.51520000000001</v>
      </c>
      <c r="L61" s="4">
        <v>16</v>
      </c>
      <c r="M61" s="11">
        <f>10^3*0.06895*(2*L61*0.188)/(3.5*$C$61)</f>
        <v>118.51520000000001</v>
      </c>
      <c r="N61" s="4">
        <v>16</v>
      </c>
      <c r="O61" s="11">
        <f>10^3*0.06895*(2*N61*0.188)/(3.5*$C$61)</f>
        <v>118.51520000000001</v>
      </c>
      <c r="P61" s="4">
        <v>16</v>
      </c>
      <c r="Q61" s="11">
        <f>10^3*0.06895*(2*P61*0.188)/(3.5*$C$61)</f>
        <v>118.51520000000001</v>
      </c>
      <c r="R61" s="4">
        <v>15.3</v>
      </c>
      <c r="S61" s="11">
        <f>10^3*0.06895*(2*R61*0.188)/(3.5*$C$61)</f>
        <v>113.33016000000001</v>
      </c>
      <c r="T61" s="4">
        <v>14.6</v>
      </c>
      <c r="U61" s="11">
        <f>10^3*0.06895*(2*T61*0.188)/(3.5*$C$61)</f>
        <v>108.14512000000001</v>
      </c>
      <c r="V61" s="4">
        <v>12.5</v>
      </c>
      <c r="W61" s="11">
        <f>10^3*0.06895*(2*V61*0.188)/(3.5*$C$61)</f>
        <v>92.59</v>
      </c>
      <c r="X61" s="4">
        <v>10.7</v>
      </c>
      <c r="Y61" s="11">
        <f>10^3*0.06895*(2*X61*0.188)/(3.5*$C$61)</f>
        <v>79.257040000000003</v>
      </c>
      <c r="Z61" s="4">
        <v>9.1999999999999993</v>
      </c>
      <c r="AA61" s="12">
        <f>10^3*0.06895*(2*Z61*0.188)/(3.5*$C$61)</f>
        <v>68.146239999999992</v>
      </c>
    </row>
    <row r="62" spans="1:27" x14ac:dyDescent="0.25">
      <c r="A62" s="43"/>
      <c r="B62" s="45"/>
      <c r="C62" s="4">
        <v>1</v>
      </c>
      <c r="D62" s="4">
        <v>3</v>
      </c>
      <c r="E62" s="4">
        <v>40</v>
      </c>
      <c r="F62" s="4">
        <v>3.5</v>
      </c>
      <c r="G62" s="4">
        <v>0.216</v>
      </c>
      <c r="H62" s="4">
        <v>16</v>
      </c>
      <c r="I62" s="11">
        <f>10^3*0.06895*(2*H62*0.216)/(3.5*$C$62)</f>
        <v>136.16640000000001</v>
      </c>
      <c r="J62" s="4">
        <v>16</v>
      </c>
      <c r="K62" s="11">
        <f>10^3*0.06895*(2*J62*0.216)/(3.5*$C$62)</f>
        <v>136.16640000000001</v>
      </c>
      <c r="L62" s="4">
        <v>16</v>
      </c>
      <c r="M62" s="11">
        <f>10^3*0.06895*(2*L62*0.216)/(3.5*$C$62)</f>
        <v>136.16640000000001</v>
      </c>
      <c r="N62" s="4">
        <v>16</v>
      </c>
      <c r="O62" s="11">
        <f>10^3*0.06895*(2*N62*0.216)/(3.5*$C$62)</f>
        <v>136.16640000000001</v>
      </c>
      <c r="P62" s="4">
        <v>16</v>
      </c>
      <c r="Q62" s="11">
        <f>10^3*0.06895*(2*P62*0.216)/(3.5*$C$62)</f>
        <v>136.16640000000001</v>
      </c>
      <c r="R62" s="4">
        <v>15.3</v>
      </c>
      <c r="S62" s="11">
        <f>10^3*0.06895*(2*R62*0.216)/(3.5*$C$62)</f>
        <v>130.20912000000001</v>
      </c>
      <c r="T62" s="4">
        <v>14.6</v>
      </c>
      <c r="U62" s="11">
        <f>10^3*0.06895*(2*T62*0.216)/(3.5*$C$62)</f>
        <v>124.25184</v>
      </c>
      <c r="V62" s="4">
        <v>12.5</v>
      </c>
      <c r="W62" s="11">
        <f>10^3*0.06895*(2*V62*0.216)/(3.5*$C$62)</f>
        <v>106.38000000000001</v>
      </c>
      <c r="X62" s="4">
        <v>10.7</v>
      </c>
      <c r="Y62" s="11">
        <f>10^3*0.06895*(2*X62*0.216)/(3.5*$C$62)</f>
        <v>91.061279999999996</v>
      </c>
      <c r="Z62" s="4">
        <v>9.1999999999999993</v>
      </c>
      <c r="AA62" s="12">
        <f>10^3*0.06895*(2*Z62*0.216)/(3.5*$C$62)</f>
        <v>78.29567999999999</v>
      </c>
    </row>
    <row r="63" spans="1:27" x14ac:dyDescent="0.25">
      <c r="A63" s="43"/>
      <c r="B63" s="45"/>
      <c r="C63" s="4">
        <v>1</v>
      </c>
      <c r="D63" s="4">
        <v>3</v>
      </c>
      <c r="E63" s="4">
        <v>80</v>
      </c>
      <c r="F63" s="4">
        <v>3.5</v>
      </c>
      <c r="G63" s="4">
        <v>0.3</v>
      </c>
      <c r="H63" s="4">
        <v>16</v>
      </c>
      <c r="I63" s="11">
        <f>10^3*0.06895*(2*H63*0.3)/(3.5*$C$63)</f>
        <v>189.11999999999998</v>
      </c>
      <c r="J63" s="4">
        <v>16</v>
      </c>
      <c r="K63" s="11">
        <f>10^3*0.06895*(2*J63*0.3)/(3.5*$C$63)</f>
        <v>189.11999999999998</v>
      </c>
      <c r="L63" s="4">
        <v>16</v>
      </c>
      <c r="M63" s="11">
        <f>10^3*0.06895*(2*L63*0.3)/(3.5*$C$63)</f>
        <v>189.11999999999998</v>
      </c>
      <c r="N63" s="4">
        <v>16</v>
      </c>
      <c r="O63" s="11">
        <f>10^3*0.06895*(2*N63*0.3)/(3.5*$C$63)</f>
        <v>189.11999999999998</v>
      </c>
      <c r="P63" s="4">
        <v>16</v>
      </c>
      <c r="Q63" s="11">
        <f>10^3*0.06895*(2*P63*0.3)/(3.5*$C$63)</f>
        <v>189.11999999999998</v>
      </c>
      <c r="R63" s="4">
        <v>15.3</v>
      </c>
      <c r="S63" s="11">
        <f>10^3*0.06895*(2*R63*0.3)/(3.5*$C$63)</f>
        <v>180.846</v>
      </c>
      <c r="T63" s="4">
        <v>14.6</v>
      </c>
      <c r="U63" s="11">
        <f>10^3*0.06895*(2*T63*0.3)/(3.5*$C$63)</f>
        <v>172.57200000000003</v>
      </c>
      <c r="V63" s="4">
        <v>12.5</v>
      </c>
      <c r="W63" s="11">
        <f>10^3*0.06895*(2*V63*0.3)/(3.5*$C$63)</f>
        <v>147.75</v>
      </c>
      <c r="X63" s="4">
        <v>10.7</v>
      </c>
      <c r="Y63" s="11">
        <f>10^3*0.06895*(2*X63*0.3)/(3.5*$C$63)</f>
        <v>126.47399999999998</v>
      </c>
      <c r="Z63" s="4">
        <v>9.1999999999999993</v>
      </c>
      <c r="AA63" s="12">
        <f>10^3*0.06895*(2*Z63*0.3)/(3.5*$C$63)</f>
        <v>108.744</v>
      </c>
    </row>
    <row r="64" spans="1:27" ht="16.5" thickBot="1" x14ac:dyDescent="0.3">
      <c r="A64" s="43"/>
      <c r="B64" s="46"/>
      <c r="C64" s="5">
        <v>1</v>
      </c>
      <c r="D64" s="5">
        <v>3</v>
      </c>
      <c r="E64" s="5">
        <v>160</v>
      </c>
      <c r="F64" s="5">
        <v>3.5</v>
      </c>
      <c r="G64" s="5">
        <v>0.438</v>
      </c>
      <c r="H64" s="5">
        <v>16</v>
      </c>
      <c r="I64" s="13">
        <f>10^3*0.06895*(2*H64*0.438)/(3.5*$C$64)</f>
        <v>276.11520000000002</v>
      </c>
      <c r="J64" s="5">
        <v>16</v>
      </c>
      <c r="K64" s="13">
        <f>10^3*0.06895*(2*J64*0.438)/(3.5*$C$64)</f>
        <v>276.11520000000002</v>
      </c>
      <c r="L64" s="5">
        <v>16</v>
      </c>
      <c r="M64" s="13">
        <f>10^3*0.06895*(2*L64*0.438)/(3.5*$C$64)</f>
        <v>276.11520000000002</v>
      </c>
      <c r="N64" s="5">
        <v>16</v>
      </c>
      <c r="O64" s="13">
        <f>10^3*0.06895*(2*N64*0.438)/(3.5*$C$64)</f>
        <v>276.11520000000002</v>
      </c>
      <c r="P64" s="5">
        <v>16</v>
      </c>
      <c r="Q64" s="13">
        <f>10^3*0.06895*(2*P64*0.438)/(3.5*$C$64)</f>
        <v>276.11520000000002</v>
      </c>
      <c r="R64" s="5">
        <v>15.3</v>
      </c>
      <c r="S64" s="13">
        <f>10^3*0.06895*(2*R64*0.438)/(3.5*$C$64)</f>
        <v>264.03516000000002</v>
      </c>
      <c r="T64" s="5">
        <v>14.6</v>
      </c>
      <c r="U64" s="13">
        <f>10^3*0.06895*(2*T64*0.438)/(3.5*$C$64)</f>
        <v>251.95512000000002</v>
      </c>
      <c r="V64" s="5">
        <v>12.5</v>
      </c>
      <c r="W64" s="13">
        <f>10^3*0.06895*(2*V64*0.438)/(3.5*$C$64)</f>
        <v>215.71499999999997</v>
      </c>
      <c r="X64" s="5">
        <v>10.7</v>
      </c>
      <c r="Y64" s="13">
        <f>10^3*0.06895*(2*X64*0.438)/(3.5*$C$64)</f>
        <v>184.65203999999997</v>
      </c>
      <c r="Z64" s="5">
        <v>9.1999999999999993</v>
      </c>
      <c r="AA64" s="14">
        <f>10^3*0.06895*(2*Z64*0.438)/(3.5*$C$64)</f>
        <v>158.76623999999998</v>
      </c>
    </row>
    <row r="65" spans="1:27" x14ac:dyDescent="0.25">
      <c r="A65" s="43"/>
      <c r="B65" s="44" t="s">
        <v>1</v>
      </c>
      <c r="C65" s="3">
        <v>1</v>
      </c>
      <c r="D65" s="3">
        <v>3</v>
      </c>
      <c r="E65" s="3">
        <v>5</v>
      </c>
      <c r="F65" s="19">
        <v>3.5</v>
      </c>
      <c r="G65" s="3">
        <v>8.3000000000000004E-2</v>
      </c>
      <c r="H65" s="3">
        <v>20</v>
      </c>
      <c r="I65" s="9">
        <f>10^3*0.06895*(2*H65*0.083)/(3.5*$C$65)</f>
        <v>65.404000000000011</v>
      </c>
      <c r="J65" s="3">
        <v>20</v>
      </c>
      <c r="K65" s="9">
        <f>10^3*0.06895*(2*J65*0.083)/(3.5*$C$59)</f>
        <v>65.404000000000011</v>
      </c>
      <c r="L65" s="3">
        <v>20</v>
      </c>
      <c r="M65" s="9">
        <f>10^3*0.06895*(2*L65*0.083)/(3.5*$C$59)</f>
        <v>65.404000000000011</v>
      </c>
      <c r="N65" s="3">
        <v>19.899999999999999</v>
      </c>
      <c r="O65" s="9">
        <f>10^3*0.06895*(2*N65*0.083)/(3.5*$C$59)</f>
        <v>65.076980000000006</v>
      </c>
      <c r="P65" s="3">
        <v>19</v>
      </c>
      <c r="Q65" s="9">
        <f>10^3*0.06895*(2*P65*0.083)/(3.5*$C$59)</f>
        <v>62.133800000000008</v>
      </c>
      <c r="R65" s="3">
        <v>17.899999999999999</v>
      </c>
      <c r="S65" s="9">
        <f>10^3*0.06895*(2*R65*0.083)/(3.5*$C$59)</f>
        <v>58.536580000000008</v>
      </c>
      <c r="T65" s="3">
        <v>17.3</v>
      </c>
      <c r="U65" s="9">
        <f>10^3*0.06895*(2*T65*0.083)/(3.5*$C$59)</f>
        <v>56.574460000000009</v>
      </c>
      <c r="V65" s="3">
        <v>16.7</v>
      </c>
      <c r="W65" s="9">
        <f>10^3*0.06895*(2*V65*0.083)/(3.5*$C$59)</f>
        <v>54.61234000000001</v>
      </c>
      <c r="X65" s="3">
        <v>13.9</v>
      </c>
      <c r="Y65" s="9">
        <f>10^3*0.06895*(2*X65*0.083)/(3.5*$C$59)</f>
        <v>45.455780000000011</v>
      </c>
      <c r="Z65" s="3">
        <v>11.4</v>
      </c>
      <c r="AA65" s="10">
        <f>10^3*0.06895*(2*Z65*0.083)/(3.5*$C$59)</f>
        <v>37.280280000000005</v>
      </c>
    </row>
    <row r="66" spans="1:27" x14ac:dyDescent="0.25">
      <c r="A66" s="43"/>
      <c r="B66" s="45"/>
      <c r="C66" s="4">
        <v>1</v>
      </c>
      <c r="D66" s="4">
        <v>3</v>
      </c>
      <c r="E66" s="4">
        <v>10</v>
      </c>
      <c r="F66" s="4">
        <v>3.5</v>
      </c>
      <c r="G66" s="4">
        <v>0.12</v>
      </c>
      <c r="H66" s="4">
        <v>20</v>
      </c>
      <c r="I66" s="11">
        <f>10^3*0.06895*(2*H66*0.12)/(3.5*$C$66)</f>
        <v>94.559999999999988</v>
      </c>
      <c r="J66" s="4">
        <v>20</v>
      </c>
      <c r="K66" s="11">
        <f>10^3*0.06895*(2*J66*0.12)/(3.5*$C$60)</f>
        <v>94.559999999999988</v>
      </c>
      <c r="L66" s="4">
        <v>20</v>
      </c>
      <c r="M66" s="11">
        <f>10^3*0.06895*(2*L66*0.12)/(3.5*$C$60)</f>
        <v>94.559999999999988</v>
      </c>
      <c r="N66" s="4">
        <v>19.899999999999999</v>
      </c>
      <c r="O66" s="11">
        <f>10^3*0.06895*(2*N66*0.12)/(3.5*$C$60)</f>
        <v>94.08720000000001</v>
      </c>
      <c r="P66" s="4">
        <v>19</v>
      </c>
      <c r="Q66" s="11">
        <f>10^3*0.06895*(2*P66*0.12)/(3.5*$C$60)</f>
        <v>89.831999999999994</v>
      </c>
      <c r="R66" s="4">
        <v>17.899999999999999</v>
      </c>
      <c r="S66" s="11">
        <f>10^3*0.06895*(2*R66*0.12)/(3.5*$C$60)</f>
        <v>84.631199999999993</v>
      </c>
      <c r="T66" s="4">
        <v>17.3</v>
      </c>
      <c r="U66" s="11">
        <f>10^3*0.06895*(2*T66*0.12)/(3.5*$C$60)</f>
        <v>81.79440000000001</v>
      </c>
      <c r="V66" s="4">
        <v>16.7</v>
      </c>
      <c r="W66" s="11">
        <f>10^3*0.06895*(2*V66*0.12)/(3.5*$C$60)</f>
        <v>78.957599999999999</v>
      </c>
      <c r="X66" s="4">
        <v>13.9</v>
      </c>
      <c r="Y66" s="11">
        <f>10^3*0.06895*(2*X66*0.12)/(3.5*$C$60)</f>
        <v>65.719200000000001</v>
      </c>
      <c r="Z66" s="4">
        <v>11.4</v>
      </c>
      <c r="AA66" s="12">
        <f>10^3*0.06895*(2*Z66*0.12)/(3.5*$C$60)</f>
        <v>53.8992</v>
      </c>
    </row>
    <row r="67" spans="1:27" x14ac:dyDescent="0.25">
      <c r="A67" s="43"/>
      <c r="B67" s="45"/>
      <c r="C67" s="4">
        <v>1</v>
      </c>
      <c r="D67" s="4">
        <v>3</v>
      </c>
      <c r="E67" s="4">
        <v>30</v>
      </c>
      <c r="F67" s="4">
        <v>3.5</v>
      </c>
      <c r="G67" s="4">
        <v>0.188</v>
      </c>
      <c r="H67" s="4">
        <v>20</v>
      </c>
      <c r="I67" s="11">
        <f>10^3*0.06895*(2*H67*0.188)/(3.5*$C$67)</f>
        <v>148.14400000000001</v>
      </c>
      <c r="J67" s="4">
        <v>20</v>
      </c>
      <c r="K67" s="11">
        <f>10^3*0.06895*(2*J67*0.188)/(3.5*$C$61)</f>
        <v>148.14400000000001</v>
      </c>
      <c r="L67" s="4">
        <v>20</v>
      </c>
      <c r="M67" s="11">
        <f>10^3*0.06895*(2*L67*0.188)/(3.5*$C$61)</f>
        <v>148.14400000000001</v>
      </c>
      <c r="N67" s="4">
        <v>19.899999999999999</v>
      </c>
      <c r="O67" s="11">
        <f>10^3*0.06895*(2*N67*0.188)/(3.5*$C$61)</f>
        <v>147.40328</v>
      </c>
      <c r="P67" s="4">
        <v>19</v>
      </c>
      <c r="Q67" s="11">
        <f>10^3*0.06895*(2*P67*0.188)/(3.5*$C$61)</f>
        <v>140.73679999999999</v>
      </c>
      <c r="R67" s="4">
        <v>17.899999999999999</v>
      </c>
      <c r="S67" s="11">
        <f>10^3*0.06895*(2*R67*0.188)/(3.5*$C$61)</f>
        <v>132.58887999999999</v>
      </c>
      <c r="T67" s="4">
        <v>17.3</v>
      </c>
      <c r="U67" s="11">
        <f>10^3*0.06895*(2*T67*0.188)/(3.5*$C$61)</f>
        <v>128.14456000000001</v>
      </c>
      <c r="V67" s="4">
        <v>16.7</v>
      </c>
      <c r="W67" s="11">
        <f>10^3*0.06895*(2*V67*0.188)/(3.5*$C$61)</f>
        <v>123.70023999999999</v>
      </c>
      <c r="X67" s="4">
        <v>13.9</v>
      </c>
      <c r="Y67" s="11">
        <f>10^3*0.06895*(2*X67*0.188)/(3.5*$C$61)</f>
        <v>102.96007999999999</v>
      </c>
      <c r="Z67" s="4">
        <v>11.4</v>
      </c>
      <c r="AA67" s="12">
        <f>10^3*0.06895*(2*Z67*0.188)/(3.5*$C$61)</f>
        <v>84.442080000000018</v>
      </c>
    </row>
    <row r="68" spans="1:27" x14ac:dyDescent="0.25">
      <c r="A68" s="43"/>
      <c r="B68" s="45"/>
      <c r="C68" s="4">
        <v>1</v>
      </c>
      <c r="D68" s="4">
        <v>3</v>
      </c>
      <c r="E68" s="4">
        <v>40</v>
      </c>
      <c r="F68" s="4">
        <v>3.5</v>
      </c>
      <c r="G68" s="4">
        <v>0.216</v>
      </c>
      <c r="H68" s="4">
        <v>20</v>
      </c>
      <c r="I68" s="11">
        <f>10^3*0.06895*(2*H68*0.216)/(3.5*$C$68)</f>
        <v>170.20800000000003</v>
      </c>
      <c r="J68" s="4">
        <v>20</v>
      </c>
      <c r="K68" s="11">
        <f>10^3*0.06895*(2*J68*0.216)/(3.5*$C$62)</f>
        <v>170.20800000000003</v>
      </c>
      <c r="L68" s="4">
        <v>20</v>
      </c>
      <c r="M68" s="11">
        <f>10^3*0.06895*(2*L68*0.216)/(3.5*$C$62)</f>
        <v>170.20800000000003</v>
      </c>
      <c r="N68" s="4">
        <v>19.899999999999999</v>
      </c>
      <c r="O68" s="11">
        <f>10^3*0.06895*(2*N68*0.216)/(3.5*$C$62)</f>
        <v>169.35696000000002</v>
      </c>
      <c r="P68" s="4">
        <v>19</v>
      </c>
      <c r="Q68" s="11">
        <f>10^3*0.06895*(2*P68*0.216)/(3.5*$C$62)</f>
        <v>161.69759999999999</v>
      </c>
      <c r="R68" s="4">
        <v>17.899999999999999</v>
      </c>
      <c r="S68" s="11">
        <f>10^3*0.06895*(2*R68*0.216)/(3.5*$C$62)</f>
        <v>152.33616000000001</v>
      </c>
      <c r="T68" s="4">
        <v>17.3</v>
      </c>
      <c r="U68" s="11">
        <f>10^3*0.06895*(2*T68*0.216)/(3.5*$C$62)</f>
        <v>147.22992000000002</v>
      </c>
      <c r="V68" s="4">
        <v>16.7</v>
      </c>
      <c r="W68" s="11">
        <f>10^3*0.06895*(2*V68*0.216)/(3.5*$C$62)</f>
        <v>142.12368000000001</v>
      </c>
      <c r="X68" s="4">
        <v>13.9</v>
      </c>
      <c r="Y68" s="11">
        <f>10^3*0.06895*(2*X68*0.216)/(3.5*$C$62)</f>
        <v>118.29456000000002</v>
      </c>
      <c r="Z68" s="4">
        <v>11.4</v>
      </c>
      <c r="AA68" s="12">
        <f>10^3*0.06895*(2*Z68*0.216)/(3.5*$C$62)</f>
        <v>97.018560000000008</v>
      </c>
    </row>
    <row r="69" spans="1:27" x14ac:dyDescent="0.25">
      <c r="A69" s="43"/>
      <c r="B69" s="45"/>
      <c r="C69" s="4">
        <v>1</v>
      </c>
      <c r="D69" s="4">
        <v>3</v>
      </c>
      <c r="E69" s="4">
        <v>80</v>
      </c>
      <c r="F69" s="4">
        <v>3.5</v>
      </c>
      <c r="G69" s="4">
        <v>0.3</v>
      </c>
      <c r="H69" s="4">
        <v>20</v>
      </c>
      <c r="I69" s="11">
        <f>10^3*0.06895*(2*H69*0.3)/(3.5*$C$69)</f>
        <v>236.40000000000003</v>
      </c>
      <c r="J69" s="4">
        <v>20</v>
      </c>
      <c r="K69" s="11">
        <f>10^3*0.06895*(2*J69*0.3)/(3.5*$C$63)</f>
        <v>236.40000000000003</v>
      </c>
      <c r="L69" s="4">
        <v>20</v>
      </c>
      <c r="M69" s="11">
        <f>10^3*0.06895*(2*L69*0.3)/(3.5*$C$63)</f>
        <v>236.40000000000003</v>
      </c>
      <c r="N69" s="4">
        <v>19.899999999999999</v>
      </c>
      <c r="O69" s="11">
        <f>10^3*0.06895*(2*N69*0.3)/(3.5*$C$63)</f>
        <v>235.21800000000002</v>
      </c>
      <c r="P69" s="4">
        <v>19</v>
      </c>
      <c r="Q69" s="11">
        <f>10^3*0.06895*(2*P69*0.3)/(3.5*$C$63)</f>
        <v>224.58</v>
      </c>
      <c r="R69" s="4">
        <v>17.899999999999999</v>
      </c>
      <c r="S69" s="11">
        <f>10^3*0.06895*(2*R69*0.3)/(3.5*$C$63)</f>
        <v>211.57799999999997</v>
      </c>
      <c r="T69" s="4">
        <v>17.3</v>
      </c>
      <c r="U69" s="11">
        <f>10^3*0.06895*(2*T69*0.3)/(3.5*$C$63)</f>
        <v>204.48600000000005</v>
      </c>
      <c r="V69" s="4">
        <v>16.7</v>
      </c>
      <c r="W69" s="11">
        <f>10^3*0.06895*(2*V69*0.3)/(3.5*$C$63)</f>
        <v>197.39400000000001</v>
      </c>
      <c r="X69" s="4">
        <v>13.9</v>
      </c>
      <c r="Y69" s="11">
        <f>10^3*0.06895*(2*X69*0.3)/(3.5*$C$63)</f>
        <v>164.298</v>
      </c>
      <c r="Z69" s="4">
        <v>11.4</v>
      </c>
      <c r="AA69" s="12">
        <f>10^3*0.06895*(2*Z69*0.3)/(3.5*$C$63)</f>
        <v>134.74799999999999</v>
      </c>
    </row>
    <row r="70" spans="1:27" ht="16.5" thickBot="1" x14ac:dyDescent="0.3">
      <c r="A70" s="43"/>
      <c r="B70" s="46"/>
      <c r="C70" s="5">
        <v>1</v>
      </c>
      <c r="D70" s="5">
        <v>3</v>
      </c>
      <c r="E70" s="5">
        <v>160</v>
      </c>
      <c r="F70" s="5">
        <v>3.5</v>
      </c>
      <c r="G70" s="5">
        <v>0.438</v>
      </c>
      <c r="H70" s="5">
        <v>20</v>
      </c>
      <c r="I70" s="13">
        <f>10^3*0.06895*(2*H70*0.438)/(3.5*$C$70)</f>
        <v>345.14400000000006</v>
      </c>
      <c r="J70" s="5">
        <v>20</v>
      </c>
      <c r="K70" s="13">
        <f>10^3*0.06895*(2*J70*0.438)/(3.5*$C$64)</f>
        <v>345.14400000000006</v>
      </c>
      <c r="L70" s="5">
        <v>20</v>
      </c>
      <c r="M70" s="13">
        <f>10^3*0.06895*(2*L70*0.438)/(3.5*$C$64)</f>
        <v>345.14400000000006</v>
      </c>
      <c r="N70" s="5">
        <v>19.899999999999999</v>
      </c>
      <c r="O70" s="13">
        <f>10^3*0.06895*(2*N70*0.438)/(3.5*$C$64)</f>
        <v>343.41827999999998</v>
      </c>
      <c r="P70" s="5">
        <v>19</v>
      </c>
      <c r="Q70" s="13">
        <f>10^3*0.06895*(2*P70*0.438)/(3.5*$C$64)</f>
        <v>327.88679999999994</v>
      </c>
      <c r="R70" s="5">
        <v>17.899999999999999</v>
      </c>
      <c r="S70" s="13">
        <f>10^3*0.06895*(2*R70*0.438)/(3.5*$C$64)</f>
        <v>308.90387999999996</v>
      </c>
      <c r="T70" s="5">
        <v>17.3</v>
      </c>
      <c r="U70" s="13">
        <f>10^3*0.06895*(2*T70*0.438)/(3.5*$C$64)</f>
        <v>298.54955999999999</v>
      </c>
      <c r="V70" s="5">
        <v>16.7</v>
      </c>
      <c r="W70" s="13">
        <f>10^3*0.06895*(2*V70*0.438)/(3.5*$C$64)</f>
        <v>288.19523999999996</v>
      </c>
      <c r="X70" s="5">
        <v>13.9</v>
      </c>
      <c r="Y70" s="13">
        <f>10^3*0.06895*(2*X70*0.438)/(3.5*$C$64)</f>
        <v>239.87508000000003</v>
      </c>
      <c r="Z70" s="5">
        <v>11.4</v>
      </c>
      <c r="AA70" s="14">
        <f>10^3*0.06895*(2*Z70*0.438)/(3.5*$C$64)</f>
        <v>196.73208</v>
      </c>
    </row>
    <row r="71" spans="1:27" x14ac:dyDescent="0.25">
      <c r="A71" s="43"/>
      <c r="B71" s="44" t="s">
        <v>6</v>
      </c>
      <c r="C71" s="3">
        <v>1</v>
      </c>
      <c r="D71" s="3">
        <v>3</v>
      </c>
      <c r="E71" s="3">
        <v>5</v>
      </c>
      <c r="F71" s="19">
        <v>3.5</v>
      </c>
      <c r="G71" s="3">
        <v>8.3000000000000004E-2</v>
      </c>
      <c r="H71" s="6">
        <v>23.3</v>
      </c>
      <c r="I71" s="15">
        <f>10^3*0.06895*(2*H71*0.083)/(3.5*$C$71)</f>
        <v>76.195660000000004</v>
      </c>
      <c r="J71" s="6">
        <v>23.3</v>
      </c>
      <c r="K71" s="9">
        <f>10^3*0.06895*(2*J71*0.083)/(3.5*$C$59)</f>
        <v>76.195660000000004</v>
      </c>
      <c r="L71" s="6">
        <v>23.3</v>
      </c>
      <c r="M71" s="9">
        <f>10^3*0.06895*(2*L71*0.083)/(3.5*$C$59)</f>
        <v>76.195660000000004</v>
      </c>
      <c r="N71" s="6">
        <v>22.8</v>
      </c>
      <c r="O71" s="9">
        <f>10^3*0.06895*(2*N71*0.083)/(3.5*$C$59)</f>
        <v>74.560560000000009</v>
      </c>
      <c r="P71" s="6">
        <v>21.7</v>
      </c>
      <c r="Q71" s="9">
        <f>10^3*0.06895*(2*P71*0.083)/(3.5*$C$59)</f>
        <v>70.963340000000002</v>
      </c>
      <c r="R71" s="6">
        <v>20.399999999999999</v>
      </c>
      <c r="S71" s="9">
        <f>10^3*0.06895*(2*R71*0.083)/(3.5*$C$59)</f>
        <v>66.71208</v>
      </c>
      <c r="T71" s="6">
        <v>19.8</v>
      </c>
      <c r="U71" s="9">
        <f>10^3*0.06895*(2*T71*0.083)/(3.5*$C$59)</f>
        <v>64.749960000000016</v>
      </c>
      <c r="V71" s="6">
        <v>18.3</v>
      </c>
      <c r="W71" s="9">
        <f>10^3*0.06895*(2*V71*0.083)/(3.5*$C$59)</f>
        <v>59.844660000000012</v>
      </c>
      <c r="X71" s="6">
        <v>14.8</v>
      </c>
      <c r="Y71" s="9">
        <f>10^3*0.06895*(2*X71*0.083)/(3.5*$C$59)</f>
        <v>48.398960000000002</v>
      </c>
      <c r="Z71" s="6">
        <v>12</v>
      </c>
      <c r="AA71" s="10">
        <f>10^3*0.06895*(2*Z71*0.083)/(3.5*$C$59)</f>
        <v>39.242399999999996</v>
      </c>
    </row>
    <row r="72" spans="1:27" x14ac:dyDescent="0.25">
      <c r="A72" s="43"/>
      <c r="B72" s="45"/>
      <c r="C72" s="4">
        <v>1</v>
      </c>
      <c r="D72" s="4">
        <v>3</v>
      </c>
      <c r="E72" s="4">
        <v>10</v>
      </c>
      <c r="F72" s="4">
        <v>3.5</v>
      </c>
      <c r="G72" s="4">
        <v>0.12</v>
      </c>
      <c r="H72" s="7">
        <v>23.3</v>
      </c>
      <c r="I72" s="16">
        <f>10^3*0.06895*(2*H72*0.12)/(3.5*$C$72)</f>
        <v>110.16240000000001</v>
      </c>
      <c r="J72" s="7">
        <v>23.3</v>
      </c>
      <c r="K72" s="11">
        <f>10^3*0.06895*(2*J72*0.12)/(3.5*$C$60)</f>
        <v>110.16240000000001</v>
      </c>
      <c r="L72" s="7">
        <v>23.3</v>
      </c>
      <c r="M72" s="11">
        <f>10^3*0.06895*(2*L72*0.12)/(3.5*$C$60)</f>
        <v>110.16240000000001</v>
      </c>
      <c r="N72" s="7">
        <v>22.8</v>
      </c>
      <c r="O72" s="11">
        <f>10^3*0.06895*(2*N72*0.12)/(3.5*$C$60)</f>
        <v>107.7984</v>
      </c>
      <c r="P72" s="7">
        <v>21.7</v>
      </c>
      <c r="Q72" s="11">
        <f>10^3*0.06895*(2*P72*0.12)/(3.5*$C$60)</f>
        <v>102.59759999999999</v>
      </c>
      <c r="R72" s="7">
        <v>20.399999999999999</v>
      </c>
      <c r="S72" s="11">
        <f>10^3*0.06895*(2*R72*0.12)/(3.5*$C$60)</f>
        <v>96.4512</v>
      </c>
      <c r="T72" s="7">
        <v>19.8</v>
      </c>
      <c r="U72" s="11">
        <f>10^3*0.06895*(2*T72*0.12)/(3.5*$C$60)</f>
        <v>93.614400000000003</v>
      </c>
      <c r="V72" s="7">
        <v>18.3</v>
      </c>
      <c r="W72" s="11">
        <f>10^3*0.06895*(2*V72*0.12)/(3.5*$C$60)</f>
        <v>86.522400000000019</v>
      </c>
      <c r="X72" s="7">
        <v>14.8</v>
      </c>
      <c r="Y72" s="11">
        <f>10^3*0.06895*(2*X72*0.12)/(3.5*$C$60)</f>
        <v>69.974400000000003</v>
      </c>
      <c r="Z72" s="7">
        <v>12</v>
      </c>
      <c r="AA72" s="12">
        <f>10^3*0.06895*(2*Z72*0.12)/(3.5*$C$60)</f>
        <v>56.735999999999997</v>
      </c>
    </row>
    <row r="73" spans="1:27" x14ac:dyDescent="0.25">
      <c r="A73" s="43"/>
      <c r="B73" s="45"/>
      <c r="C73" s="4">
        <v>1</v>
      </c>
      <c r="D73" s="4">
        <v>3</v>
      </c>
      <c r="E73" s="4">
        <v>30</v>
      </c>
      <c r="F73" s="4">
        <v>3.5</v>
      </c>
      <c r="G73" s="4">
        <v>0.188</v>
      </c>
      <c r="H73" s="7">
        <v>23.3</v>
      </c>
      <c r="I73" s="16">
        <f>10^3*0.06895*(2*H73*0.188)/(3.5*$C$73)</f>
        <v>172.58775999999997</v>
      </c>
      <c r="J73" s="7">
        <v>23.3</v>
      </c>
      <c r="K73" s="11">
        <f>10^3*0.06895*(2*J73*0.188)/(3.5*$C$61)</f>
        <v>172.58775999999997</v>
      </c>
      <c r="L73" s="7">
        <v>23.3</v>
      </c>
      <c r="M73" s="11">
        <f>10^3*0.06895*(2*L73*0.188)/(3.5*$C$61)</f>
        <v>172.58775999999997</v>
      </c>
      <c r="N73" s="7">
        <v>22.8</v>
      </c>
      <c r="O73" s="11">
        <f>10^3*0.06895*(2*N73*0.188)/(3.5*$C$61)</f>
        <v>168.88416000000004</v>
      </c>
      <c r="P73" s="7">
        <v>21.7</v>
      </c>
      <c r="Q73" s="11">
        <f>10^3*0.06895*(2*P73*0.188)/(3.5*$C$61)</f>
        <v>160.73624000000001</v>
      </c>
      <c r="R73" s="7">
        <v>20.399999999999999</v>
      </c>
      <c r="S73" s="11">
        <f>10^3*0.06895*(2*R73*0.188)/(3.5*$C$61)</f>
        <v>151.10688000000002</v>
      </c>
      <c r="T73" s="7">
        <v>19.8</v>
      </c>
      <c r="U73" s="11">
        <f>10^3*0.06895*(2*T73*0.188)/(3.5*$C$61)</f>
        <v>146.66256000000001</v>
      </c>
      <c r="V73" s="7">
        <v>18.3</v>
      </c>
      <c r="W73" s="11">
        <f>10^3*0.06895*(2*V73*0.188)/(3.5*$C$61)</f>
        <v>135.55176000000003</v>
      </c>
      <c r="X73" s="7">
        <v>14.8</v>
      </c>
      <c r="Y73" s="11">
        <f>10^3*0.06895*(2*X73*0.188)/(3.5*$C$61)</f>
        <v>109.62656000000001</v>
      </c>
      <c r="Z73" s="7">
        <v>12</v>
      </c>
      <c r="AA73" s="12">
        <f>10^3*0.06895*(2*Z73*0.188)/(3.5*$C$61)</f>
        <v>88.886400000000009</v>
      </c>
    </row>
    <row r="74" spans="1:27" x14ac:dyDescent="0.25">
      <c r="A74" s="43"/>
      <c r="B74" s="45"/>
      <c r="C74" s="4">
        <v>1</v>
      </c>
      <c r="D74" s="4">
        <v>3</v>
      </c>
      <c r="E74" s="4">
        <v>40</v>
      </c>
      <c r="F74" s="4">
        <v>3.5</v>
      </c>
      <c r="G74" s="4">
        <v>0.216</v>
      </c>
      <c r="H74" s="7">
        <v>23.3</v>
      </c>
      <c r="I74" s="16">
        <f>10^3*0.06895*(2*H74*0.216)/(3.5*$C$74)</f>
        <v>198.29232000000002</v>
      </c>
      <c r="J74" s="7">
        <v>23.3</v>
      </c>
      <c r="K74" s="11">
        <f>10^3*0.06895*(2*J74*0.216)/(3.5*$C$62)</f>
        <v>198.29232000000002</v>
      </c>
      <c r="L74" s="7">
        <v>23.3</v>
      </c>
      <c r="M74" s="11">
        <f>10^3*0.06895*(2*L74*0.216)/(3.5*$C$62)</f>
        <v>198.29232000000002</v>
      </c>
      <c r="N74" s="7">
        <v>22.8</v>
      </c>
      <c r="O74" s="11">
        <f>10^3*0.06895*(2*N74*0.216)/(3.5*$C$62)</f>
        <v>194.03712000000002</v>
      </c>
      <c r="P74" s="7">
        <v>21.7</v>
      </c>
      <c r="Q74" s="11">
        <f>10^3*0.06895*(2*P74*0.216)/(3.5*$C$62)</f>
        <v>184.67568</v>
      </c>
      <c r="R74" s="7">
        <v>20.399999999999999</v>
      </c>
      <c r="S74" s="11">
        <f>10^3*0.06895*(2*R74*0.216)/(3.5*$C$62)</f>
        <v>173.61215999999999</v>
      </c>
      <c r="T74" s="7">
        <v>19.8</v>
      </c>
      <c r="U74" s="11">
        <f>10^3*0.06895*(2*T74*0.216)/(3.5*$C$62)</f>
        <v>168.50592</v>
      </c>
      <c r="V74" s="7">
        <v>18.3</v>
      </c>
      <c r="W74" s="11">
        <f>10^3*0.06895*(2*V74*0.216)/(3.5*$C$62)</f>
        <v>155.74032000000003</v>
      </c>
      <c r="X74" s="7">
        <v>14.8</v>
      </c>
      <c r="Y74" s="11">
        <f>10^3*0.06895*(2*X74*0.216)/(3.5*$C$62)</f>
        <v>125.95392000000001</v>
      </c>
      <c r="Z74" s="7">
        <v>12</v>
      </c>
      <c r="AA74" s="12">
        <f>10^3*0.06895*(2*Z74*0.216)/(3.5*$C$62)</f>
        <v>102.12480000000001</v>
      </c>
    </row>
    <row r="75" spans="1:27" x14ac:dyDescent="0.25">
      <c r="A75" s="43"/>
      <c r="B75" s="45"/>
      <c r="C75" s="4">
        <v>1</v>
      </c>
      <c r="D75" s="4">
        <v>3</v>
      </c>
      <c r="E75" s="4">
        <v>80</v>
      </c>
      <c r="F75" s="4">
        <v>3.5</v>
      </c>
      <c r="G75" s="4">
        <v>0.3</v>
      </c>
      <c r="H75" s="7">
        <v>23.3</v>
      </c>
      <c r="I75" s="16">
        <f>10^3*0.06895*(2*H75*0.3)/(3.5*$C$75)</f>
        <v>275.40600000000001</v>
      </c>
      <c r="J75" s="7">
        <v>23.3</v>
      </c>
      <c r="K75" s="11">
        <f>10^3*0.06895*(2*J75*0.3)/(3.5*$C$63)</f>
        <v>275.40600000000001</v>
      </c>
      <c r="L75" s="7">
        <v>23.3</v>
      </c>
      <c r="M75" s="11">
        <f>10^3*0.06895*(2*L75*0.3)/(3.5*$C$63)</f>
        <v>275.40600000000001</v>
      </c>
      <c r="N75" s="7">
        <v>22.8</v>
      </c>
      <c r="O75" s="17">
        <f>10^3*0.06895*(2*N75*0.3)/(3.5*$C$63)</f>
        <v>269.49599999999998</v>
      </c>
      <c r="P75" s="7">
        <v>21.7</v>
      </c>
      <c r="Q75" s="11">
        <f>10^3*0.06895*(2*P75*0.3)/(3.5*$C$63)</f>
        <v>256.49400000000003</v>
      </c>
      <c r="R75" s="7">
        <v>20.399999999999999</v>
      </c>
      <c r="S75" s="11">
        <f>10^3*0.06895*(2*R75*0.3)/(3.5*$C$63)</f>
        <v>241.12799999999999</v>
      </c>
      <c r="T75" s="7">
        <v>19.8</v>
      </c>
      <c r="U75" s="11">
        <f>10^3*0.06895*(2*T75*0.3)/(3.5*$C$63)</f>
        <v>234.03600000000003</v>
      </c>
      <c r="V75" s="7">
        <v>18.3</v>
      </c>
      <c r="W75" s="11">
        <f>10^3*0.06895*(2*V75*0.3)/(3.5*$C$63)</f>
        <v>216.30600000000001</v>
      </c>
      <c r="X75" s="7">
        <v>14.8</v>
      </c>
      <c r="Y75" s="11">
        <f>10^3*0.06895*(2*X75*0.3)/(3.5*$C$63)</f>
        <v>174.93600000000001</v>
      </c>
      <c r="Z75" s="7">
        <v>12</v>
      </c>
      <c r="AA75" s="12">
        <f>10^3*0.06895*(2*Z75*0.3)/(3.5*$C$63)</f>
        <v>141.84</v>
      </c>
    </row>
    <row r="76" spans="1:27" ht="16.5" thickBot="1" x14ac:dyDescent="0.3">
      <c r="A76" s="43"/>
      <c r="B76" s="46"/>
      <c r="C76" s="5">
        <v>1</v>
      </c>
      <c r="D76" s="5">
        <v>3</v>
      </c>
      <c r="E76" s="5">
        <v>160</v>
      </c>
      <c r="F76" s="4">
        <v>3.5</v>
      </c>
      <c r="G76" s="5">
        <v>0.438</v>
      </c>
      <c r="H76" s="8">
        <v>23.3</v>
      </c>
      <c r="I76" s="18">
        <f>10^3*0.06895*(2*H76*0.438)/(3.5*$C$76)</f>
        <v>402.09276000000006</v>
      </c>
      <c r="J76" s="8">
        <v>23.3</v>
      </c>
      <c r="K76" s="13">
        <f>10^3*0.06895*(2*J76*0.438)/(3.5*$C$64)</f>
        <v>402.09276000000006</v>
      </c>
      <c r="L76" s="8">
        <v>23.3</v>
      </c>
      <c r="M76" s="13">
        <f>10^3*0.06895*(2*L76*0.438)/(3.5*$C$64)</f>
        <v>402.09276000000006</v>
      </c>
      <c r="N76" s="8">
        <v>22.8</v>
      </c>
      <c r="O76" s="13">
        <f>10^3*0.06895*(2*N76*0.438)/(3.5*$C$64)</f>
        <v>393.46415999999999</v>
      </c>
      <c r="P76" s="8">
        <v>21.7</v>
      </c>
      <c r="Q76" s="13">
        <f>10^3*0.06895*(2*P76*0.438)/(3.5*$C$64)</f>
        <v>374.48124000000001</v>
      </c>
      <c r="R76" s="8">
        <v>20.399999999999999</v>
      </c>
      <c r="S76" s="13">
        <f>10^3*0.06895*(2*R76*0.438)/(3.5*$C$64)</f>
        <v>352.04687999999999</v>
      </c>
      <c r="T76" s="8">
        <v>19.8</v>
      </c>
      <c r="U76" s="13">
        <f>10^3*0.06895*(2*T76*0.438)/(3.5*$C$64)</f>
        <v>341.69256000000001</v>
      </c>
      <c r="V76" s="8">
        <v>18.3</v>
      </c>
      <c r="W76" s="13">
        <f>10^3*0.06895*(2*V76*0.438)/(3.5*$C$64)</f>
        <v>315.80676</v>
      </c>
      <c r="X76" s="8">
        <v>14.8</v>
      </c>
      <c r="Y76" s="13">
        <f>10^3*0.06895*(2*X76*0.438)/(3.5*$C$64)</f>
        <v>255.40656000000004</v>
      </c>
      <c r="Z76" s="8">
        <v>12</v>
      </c>
      <c r="AA76" s="14">
        <f>10^3*0.06895*(2*Z76*0.438)/(3.5*$C$64)</f>
        <v>207.0864</v>
      </c>
    </row>
    <row r="77" spans="1:27" x14ac:dyDescent="0.25">
      <c r="A77" s="43" t="s">
        <v>5</v>
      </c>
      <c r="B77" s="44" t="s">
        <v>2</v>
      </c>
      <c r="C77" s="3">
        <v>1</v>
      </c>
      <c r="D77" s="3">
        <v>4</v>
      </c>
      <c r="E77" s="3">
        <v>5</v>
      </c>
      <c r="F77" s="3">
        <v>4.5</v>
      </c>
      <c r="G77" s="3">
        <v>8.3000000000000004E-2</v>
      </c>
      <c r="H77" s="3">
        <v>16</v>
      </c>
      <c r="I77" s="9">
        <f>10^3*0.06894757*(2*H77*0.083)/(4.5*$C$77)</f>
        <v>40.694387982222224</v>
      </c>
      <c r="J77" s="3">
        <v>16</v>
      </c>
      <c r="K77" s="9">
        <f>10^3*0.06894757*(2*J77*0.083)/(4.5*$C$77)</f>
        <v>40.694387982222224</v>
      </c>
      <c r="L77" s="3">
        <v>16</v>
      </c>
      <c r="M77" s="9">
        <f>10^3*0.06894757*(2*L77*0.083)/(4.5*$C$77)</f>
        <v>40.694387982222224</v>
      </c>
      <c r="N77" s="3">
        <v>16</v>
      </c>
      <c r="O77" s="9">
        <f>10^3*0.06894757*(2*N77*0.083)/(4.5*$C$77)</f>
        <v>40.694387982222224</v>
      </c>
      <c r="P77" s="3">
        <v>16</v>
      </c>
      <c r="Q77" s="9">
        <f>10^3*0.06894757*(2*P77*0.083)/(4.5*$C$77)</f>
        <v>40.694387982222224</v>
      </c>
      <c r="R77" s="3">
        <v>15.3</v>
      </c>
      <c r="S77" s="9">
        <f>10^3*0.06894757*(2*R77*0.083)/(4.5*$C$77)</f>
        <v>38.914008508000002</v>
      </c>
      <c r="T77" s="3">
        <v>14.6</v>
      </c>
      <c r="U77" s="9">
        <f>10^3*0.06894757*(2*T77*0.083)/(4.5*$C$77)</f>
        <v>37.13362903377778</v>
      </c>
      <c r="V77" s="3">
        <v>12.5</v>
      </c>
      <c r="W77" s="9">
        <f>10^3*0.06894757*(2*V77*0.083)/(4.5*$C$77)</f>
        <v>31.792490611111116</v>
      </c>
      <c r="X77" s="3">
        <v>10.7</v>
      </c>
      <c r="Y77" s="9">
        <f>10^3*0.06894757*(2*X77*0.083)/(4.5*$C$77)</f>
        <v>27.214371963111109</v>
      </c>
      <c r="Z77" s="3">
        <v>9.1999999999999993</v>
      </c>
      <c r="AA77" s="10">
        <f>10^3*0.06894757*(2*Z77*0.083)/(4.5*$C$77)</f>
        <v>23.399273089777775</v>
      </c>
    </row>
    <row r="78" spans="1:27" x14ac:dyDescent="0.25">
      <c r="A78" s="43"/>
      <c r="B78" s="45"/>
      <c r="C78" s="4">
        <v>1</v>
      </c>
      <c r="D78" s="4">
        <v>4</v>
      </c>
      <c r="E78" s="4">
        <v>10</v>
      </c>
      <c r="F78" s="4">
        <v>4.5</v>
      </c>
      <c r="G78" s="4">
        <v>0.12</v>
      </c>
      <c r="H78" s="4">
        <v>16</v>
      </c>
      <c r="I78" s="11">
        <f>10^3*0.06894757*(2*H78*0.12)/(4.5*$C$78)</f>
        <v>58.835259733333338</v>
      </c>
      <c r="J78" s="4">
        <v>16</v>
      </c>
      <c r="K78" s="11">
        <f>10^3*0.06894757*(2*J78*0.12)/(4.5*$C$78)</f>
        <v>58.835259733333338</v>
      </c>
      <c r="L78" s="4">
        <v>16</v>
      </c>
      <c r="M78" s="11">
        <f>10^3*0.06894757*(2*L78*0.12)/(4.5*$C$78)</f>
        <v>58.835259733333338</v>
      </c>
      <c r="N78" s="4">
        <v>16</v>
      </c>
      <c r="O78" s="11">
        <f>10^3*0.06894757*(2*N78*0.12)/(4.5*$C$78)</f>
        <v>58.835259733333338</v>
      </c>
      <c r="P78" s="4">
        <v>16</v>
      </c>
      <c r="Q78" s="11">
        <f>10^3*0.06894757*(2*P78*0.12)/(4.5*$C$78)</f>
        <v>58.835259733333338</v>
      </c>
      <c r="R78" s="4">
        <v>15.3</v>
      </c>
      <c r="S78" s="11">
        <f>10^3*0.06894757*(2*R78*0.12)/(4.5*$C$78)</f>
        <v>56.261217119999998</v>
      </c>
      <c r="T78" s="4">
        <v>14.6</v>
      </c>
      <c r="U78" s="11">
        <f>10^3*0.06894757*(2*T78*0.12)/(4.5*$C$78)</f>
        <v>53.687174506666665</v>
      </c>
      <c r="V78" s="4">
        <v>12.5</v>
      </c>
      <c r="W78" s="11">
        <f>10^3*0.06894757*(2*V78*0.12)/(4.5*$C$78)</f>
        <v>45.965046666666666</v>
      </c>
      <c r="X78" s="4">
        <v>10.7</v>
      </c>
      <c r="Y78" s="11">
        <f>10^3*0.06894757*(2*X78*0.12)/(4.5*$C$78)</f>
        <v>39.346079946666663</v>
      </c>
      <c r="Z78" s="4">
        <v>9.1999999999999993</v>
      </c>
      <c r="AA78" s="12">
        <f>10^3*0.06894757*(2*Z78*0.12)/(4.5*$C$78)</f>
        <v>33.830274346666663</v>
      </c>
    </row>
    <row r="79" spans="1:27" x14ac:dyDescent="0.25">
      <c r="A79" s="43"/>
      <c r="B79" s="45"/>
      <c r="C79" s="4">
        <v>1</v>
      </c>
      <c r="D79" s="4">
        <v>4</v>
      </c>
      <c r="E79" s="4">
        <v>30</v>
      </c>
      <c r="F79" s="4">
        <v>4.5</v>
      </c>
      <c r="G79" s="4">
        <v>0.188</v>
      </c>
      <c r="H79" s="4">
        <v>16</v>
      </c>
      <c r="I79" s="11">
        <f>10^3*0.06894757*(2*H79*0.188)/(4.5*$C$79)</f>
        <v>92.175240248888883</v>
      </c>
      <c r="J79" s="4">
        <v>16</v>
      </c>
      <c r="K79" s="11">
        <f>10^3*0.06894757*(2*J79*0.188)/(4.5*$C$79)</f>
        <v>92.175240248888883</v>
      </c>
      <c r="L79" s="4">
        <v>16</v>
      </c>
      <c r="M79" s="11">
        <f>10^3*0.06894757*(2*L79*0.188)/(4.5*$C$79)</f>
        <v>92.175240248888883</v>
      </c>
      <c r="N79" s="4">
        <v>16</v>
      </c>
      <c r="O79" s="11">
        <f>10^3*0.06894757*(2*N79*0.188)/(4.5*$C$79)</f>
        <v>92.175240248888883</v>
      </c>
      <c r="P79" s="4">
        <v>16</v>
      </c>
      <c r="Q79" s="11">
        <f>10^3*0.06894757*(2*P79*0.188)/(4.5*$C$79)</f>
        <v>92.175240248888883</v>
      </c>
      <c r="R79" s="4">
        <v>15.3</v>
      </c>
      <c r="S79" s="11">
        <f>10^3*0.06894757*(2*R79*0.188)/(4.5*$C$79)</f>
        <v>88.142573487999996</v>
      </c>
      <c r="T79" s="4">
        <v>14.6</v>
      </c>
      <c r="U79" s="11">
        <f>10^3*0.06894757*(2*T79*0.188)/(4.5*$C$79)</f>
        <v>84.10990672711111</v>
      </c>
      <c r="V79" s="4">
        <v>12.5</v>
      </c>
      <c r="W79" s="11">
        <f>10^3*0.06894757*(2*V79*0.188)/(4.5*$C$79)</f>
        <v>72.011906444444449</v>
      </c>
      <c r="X79" s="4">
        <v>10.7</v>
      </c>
      <c r="Y79" s="11">
        <f>10^3*0.06894757*(2*X79*0.188)/(4.5*$C$79)</f>
        <v>61.642191916444439</v>
      </c>
      <c r="Z79" s="4">
        <v>9.1999999999999993</v>
      </c>
      <c r="AA79" s="12">
        <f>10^3*0.06894757*(2*Z79*0.188)/(4.5*$C$79)</f>
        <v>53.000763143111108</v>
      </c>
    </row>
    <row r="80" spans="1:27" x14ac:dyDescent="0.25">
      <c r="A80" s="43"/>
      <c r="B80" s="45"/>
      <c r="C80" s="4">
        <v>1</v>
      </c>
      <c r="D80" s="4">
        <v>4</v>
      </c>
      <c r="E80" s="4">
        <v>40</v>
      </c>
      <c r="F80" s="4">
        <v>4.5</v>
      </c>
      <c r="G80" s="4">
        <v>0.23699999999999999</v>
      </c>
      <c r="H80" s="4">
        <v>16</v>
      </c>
      <c r="I80" s="11">
        <f>10^3*0.06894757*(2*H80*0.237)/(4.5*$C$80)</f>
        <v>116.19963797333334</v>
      </c>
      <c r="J80" s="4">
        <v>16</v>
      </c>
      <c r="K80" s="11">
        <f>10^3*0.06894757*(2*J80*0.237)/(4.5*$C$80)</f>
        <v>116.19963797333334</v>
      </c>
      <c r="L80" s="4">
        <v>16</v>
      </c>
      <c r="M80" s="11">
        <f>10^3*0.06894757*(2*L80*0.237)/(4.5*$C$80)</f>
        <v>116.19963797333334</v>
      </c>
      <c r="N80" s="4">
        <v>16</v>
      </c>
      <c r="O80" s="11">
        <f>10^3*0.06894757*(2*N80*0.237)/(4.5*$C$80)</f>
        <v>116.19963797333334</v>
      </c>
      <c r="P80" s="4">
        <v>16</v>
      </c>
      <c r="Q80" s="11">
        <f>10^3*0.06894757*(2*P80*0.237)/(4.5*$C$80)</f>
        <v>116.19963797333334</v>
      </c>
      <c r="R80" s="4">
        <v>15.3</v>
      </c>
      <c r="S80" s="11">
        <f>10^3*0.06894757*(2*R80*0.237)/(4.5*$C$80)</f>
        <v>111.115903812</v>
      </c>
      <c r="T80" s="4">
        <v>14.6</v>
      </c>
      <c r="U80" s="11">
        <f>10^3*0.06894757*(2*T80*0.237)/(4.5*$C$80)</f>
        <v>106.03216965066666</v>
      </c>
      <c r="V80" s="4">
        <v>12.5</v>
      </c>
      <c r="W80" s="11">
        <f>10^3*0.06894757*(2*V80*0.237)/(4.5*$C$80)</f>
        <v>90.78096716666667</v>
      </c>
      <c r="X80" s="4">
        <v>10.7</v>
      </c>
      <c r="Y80" s="11">
        <f>10^3*0.06894757*(2*X80*0.237)/(4.5*$C$80)</f>
        <v>77.708507894666653</v>
      </c>
      <c r="Z80" s="4">
        <v>9.1999999999999993</v>
      </c>
      <c r="AA80" s="12">
        <f>10^3*0.06894757*(2*Z80*0.237)/(4.5*$C$80)</f>
        <v>66.814791834666664</v>
      </c>
    </row>
    <row r="81" spans="1:27" x14ac:dyDescent="0.25">
      <c r="A81" s="43"/>
      <c r="B81" s="45"/>
      <c r="C81" s="4">
        <v>1</v>
      </c>
      <c r="D81" s="4">
        <v>4</v>
      </c>
      <c r="E81" s="4">
        <v>80</v>
      </c>
      <c r="F81" s="4">
        <v>4.5</v>
      </c>
      <c r="G81" s="4">
        <v>0.33700000000000002</v>
      </c>
      <c r="H81" s="4">
        <v>16</v>
      </c>
      <c r="I81" s="11">
        <f>10^3*0.06894757*(2*H81*0.337)/(4.5*$C$81)</f>
        <v>165.22902108444447</v>
      </c>
      <c r="J81" s="4">
        <v>16</v>
      </c>
      <c r="K81" s="11">
        <f>10^3*0.06894757*(2*J81*0.337)/(4.5*$C$81)</f>
        <v>165.22902108444447</v>
      </c>
      <c r="L81" s="4">
        <v>16</v>
      </c>
      <c r="M81" s="11">
        <f>10^3*0.06894757*(2*L81*0.337)/(4.5*$C$81)</f>
        <v>165.22902108444447</v>
      </c>
      <c r="N81" s="4">
        <v>16</v>
      </c>
      <c r="O81" s="11">
        <f>10^3*0.06894757*(2*N81*0.337)/(4.5*$C$81)</f>
        <v>165.22902108444447</v>
      </c>
      <c r="P81" s="4">
        <v>16</v>
      </c>
      <c r="Q81" s="11">
        <f>10^3*0.06894757*(2*P81*0.337)/(4.5*$C$81)</f>
        <v>165.22902108444447</v>
      </c>
      <c r="R81" s="4">
        <v>15.3</v>
      </c>
      <c r="S81" s="11">
        <f>10^3*0.06894757*(2*R81*0.337)/(4.5*$C$81)</f>
        <v>158.00025141200001</v>
      </c>
      <c r="T81" s="4">
        <v>14.6</v>
      </c>
      <c r="U81" s="11">
        <f>10^3*0.06894757*(2*T81*0.337)/(4.5*$C$81)</f>
        <v>150.77148173955555</v>
      </c>
      <c r="V81" s="4">
        <v>12.5</v>
      </c>
      <c r="W81" s="11">
        <f>10^3*0.06894757*(2*V81*0.337)/(4.5*$C$81)</f>
        <v>129.08517272222221</v>
      </c>
      <c r="X81" s="4">
        <v>10.7</v>
      </c>
      <c r="Y81" s="11">
        <f>10^3*0.06894757*(2*X81*0.337)/(4.5*$C$81)</f>
        <v>110.49690785022223</v>
      </c>
      <c r="Z81" s="4">
        <v>9.1999999999999993</v>
      </c>
      <c r="AA81" s="12">
        <f>10^3*0.06894757*(2*Z81*0.337)/(4.5*$C$81)</f>
        <v>95.006687123555551</v>
      </c>
    </row>
    <row r="82" spans="1:27" ht="16.5" thickBot="1" x14ac:dyDescent="0.3">
      <c r="A82" s="43"/>
      <c r="B82" s="46"/>
      <c r="C82" s="5">
        <v>1</v>
      </c>
      <c r="D82" s="5">
        <v>4</v>
      </c>
      <c r="E82" s="5">
        <v>160</v>
      </c>
      <c r="F82" s="5">
        <v>4.5</v>
      </c>
      <c r="G82" s="5">
        <v>0.53100000000000003</v>
      </c>
      <c r="H82" s="5">
        <v>16</v>
      </c>
      <c r="I82" s="13">
        <f>10^3*0.06894757*(2*H82*0.531)/(4.5*$C$82)</f>
        <v>260.34602431999997</v>
      </c>
      <c r="J82" s="5">
        <v>16</v>
      </c>
      <c r="K82" s="13">
        <f>10^3*0.06894757*(2*J82*0.531)/(4.5*$C$82)</f>
        <v>260.34602431999997</v>
      </c>
      <c r="L82" s="5">
        <v>16</v>
      </c>
      <c r="M82" s="13">
        <f>10^3*0.06894757*(2*L82*0.531)/(4.5*$C$82)</f>
        <v>260.34602431999997</v>
      </c>
      <c r="N82" s="5">
        <v>16</v>
      </c>
      <c r="O82" s="13">
        <f>10^3*0.06894757*(2*N82*0.531)/(4.5*$C$82)</f>
        <v>260.34602431999997</v>
      </c>
      <c r="P82" s="5">
        <v>16</v>
      </c>
      <c r="Q82" s="13">
        <f>10^3*0.06894757*(2*P82*0.531)/(4.5*$C$82)</f>
        <v>260.34602431999997</v>
      </c>
      <c r="R82" s="5">
        <v>15.3</v>
      </c>
      <c r="S82" s="13">
        <f>10^3*0.06894757*(2*R82*0.531)/(4.5*$C$82)</f>
        <v>248.95588575600004</v>
      </c>
      <c r="T82" s="5">
        <v>14.6</v>
      </c>
      <c r="U82" s="13">
        <f>10^3*0.06894757*(2*T82*0.531)/(4.5*$C$82)</f>
        <v>237.565747192</v>
      </c>
      <c r="V82" s="5">
        <v>12.5</v>
      </c>
      <c r="W82" s="13">
        <f>10^3*0.06894757*(2*V82*0.531)/(4.5*$C$82)</f>
        <v>203.3953315</v>
      </c>
      <c r="X82" s="5">
        <v>10.7</v>
      </c>
      <c r="Y82" s="13">
        <f>10^3*0.06894757*(2*X82*0.531)/(4.5*$C$82)</f>
        <v>174.10640376399999</v>
      </c>
      <c r="Z82" s="5">
        <v>9.1999999999999993</v>
      </c>
      <c r="AA82" s="14">
        <f>10^3*0.06894757*(2*Z82*0.531)/(4.5*$C$82)</f>
        <v>149.69896398399999</v>
      </c>
    </row>
    <row r="83" spans="1:27" x14ac:dyDescent="0.25">
      <c r="A83" s="43"/>
      <c r="B83" s="44" t="s">
        <v>1</v>
      </c>
      <c r="C83" s="3">
        <v>1</v>
      </c>
      <c r="D83" s="3">
        <v>4</v>
      </c>
      <c r="E83" s="3">
        <v>5</v>
      </c>
      <c r="F83" s="19">
        <v>4.5</v>
      </c>
      <c r="G83" s="3">
        <v>8.3000000000000004E-2</v>
      </c>
      <c r="H83" s="3">
        <v>20</v>
      </c>
      <c r="I83" s="9">
        <f>10^3*0.06894757*(2*H83*0.083)/(4.5*$C$83)</f>
        <v>50.86798497777778</v>
      </c>
      <c r="J83" s="3">
        <v>20</v>
      </c>
      <c r="K83" s="9">
        <f>10^3*0.06894757*(2*J83*0.083)/(4.5*$C$83)</f>
        <v>50.86798497777778</v>
      </c>
      <c r="L83" s="3">
        <v>20</v>
      </c>
      <c r="M83" s="9">
        <f>10^3*0.06894757*(2*L83*0.083)/(4.5*$C$83)</f>
        <v>50.86798497777778</v>
      </c>
      <c r="N83" s="3">
        <v>19.899999999999999</v>
      </c>
      <c r="O83" s="9">
        <f>10^3*0.06894757*(2*N83*0.083)/(4.5*$C$83)</f>
        <v>50.613645052888884</v>
      </c>
      <c r="P83" s="3">
        <v>19</v>
      </c>
      <c r="Q83" s="9">
        <f>10^3*0.06894757*(2*P83*0.083)/(4.5*$C$83)</f>
        <v>48.324585728888891</v>
      </c>
      <c r="R83" s="3">
        <v>17.899999999999999</v>
      </c>
      <c r="S83" s="9">
        <f>10^3*0.06894757*(2*R83*0.083)/(4.5*$C$83)</f>
        <v>45.526846555111113</v>
      </c>
      <c r="T83" s="3">
        <v>17.3</v>
      </c>
      <c r="U83" s="9">
        <f>10^3*0.06894757*(2*T83*0.083)/(4.5*$C$83)</f>
        <v>44.00080700577778</v>
      </c>
      <c r="V83" s="3">
        <v>16.7</v>
      </c>
      <c r="W83" s="9">
        <f>10^3*0.06894757*(2*V83*0.083)/(4.5*$C$83)</f>
        <v>42.474767456444447</v>
      </c>
      <c r="X83" s="3">
        <v>13.9</v>
      </c>
      <c r="Y83" s="9">
        <f>10^3*0.06894757*(2*X83*0.083)/(4.5*$C$83)</f>
        <v>35.353249559555564</v>
      </c>
      <c r="Z83" s="3">
        <v>11.4</v>
      </c>
      <c r="AA83" s="10">
        <f>10^3*0.06894757*(2*Z83*0.083)/(4.5*$C$83)</f>
        <v>28.994751437333335</v>
      </c>
    </row>
    <row r="84" spans="1:27" x14ac:dyDescent="0.25">
      <c r="A84" s="43"/>
      <c r="B84" s="45"/>
      <c r="C84" s="4">
        <v>1</v>
      </c>
      <c r="D84" s="4">
        <v>4</v>
      </c>
      <c r="E84" s="4">
        <v>10</v>
      </c>
      <c r="F84" s="4">
        <v>4.5</v>
      </c>
      <c r="G84" s="4">
        <v>0.12</v>
      </c>
      <c r="H84" s="4">
        <v>20</v>
      </c>
      <c r="I84" s="11">
        <f>10^3*0.06894757*(2*H84*0.12)/(4.5*$C$84)</f>
        <v>73.54407466666666</v>
      </c>
      <c r="J84" s="4">
        <v>20</v>
      </c>
      <c r="K84" s="11">
        <f>10^3*0.06894757*(2*J84*0.12)/(4.5*$C$84)</f>
        <v>73.54407466666666</v>
      </c>
      <c r="L84" s="4">
        <v>20</v>
      </c>
      <c r="M84" s="11">
        <f>10^3*0.06894757*(2*L84*0.12)/(4.5*$C$84)</f>
        <v>73.54407466666666</v>
      </c>
      <c r="N84" s="4">
        <v>19.899999999999999</v>
      </c>
      <c r="O84" s="11">
        <f>10^3*0.06894757*(2*N84*0.12)/(4.5*$C$84)</f>
        <v>73.176354293333318</v>
      </c>
      <c r="P84" s="4">
        <v>19</v>
      </c>
      <c r="Q84" s="11">
        <f>10^3*0.06894757*(2*P84*0.12)/(4.5*$C$84)</f>
        <v>69.866870933333331</v>
      </c>
      <c r="R84" s="4">
        <v>17.899999999999999</v>
      </c>
      <c r="S84" s="11">
        <f>10^3*0.06894757*(2*R84*0.12)/(4.5*$C$84)</f>
        <v>65.821946826666647</v>
      </c>
      <c r="T84" s="4">
        <v>17.3</v>
      </c>
      <c r="U84" s="11">
        <f>10^3*0.06894757*(2*T84*0.12)/(4.5*$C$84)</f>
        <v>63.615624586666662</v>
      </c>
      <c r="V84" s="4">
        <v>16.7</v>
      </c>
      <c r="W84" s="11">
        <f>10^3*0.06894757*(2*V84*0.12)/(4.5*$C$84)</f>
        <v>61.409302346666664</v>
      </c>
      <c r="X84" s="4">
        <v>13.9</v>
      </c>
      <c r="Y84" s="11">
        <f>10^3*0.06894757*(2*X84*0.12)/(4.5*$C$84)</f>
        <v>51.113131893333332</v>
      </c>
      <c r="Z84" s="4">
        <v>11.4</v>
      </c>
      <c r="AA84" s="12">
        <f>10^3*0.06894757*(2*Z84*0.12)/(4.5*$C$84)</f>
        <v>41.920122559999996</v>
      </c>
    </row>
    <row r="85" spans="1:27" x14ac:dyDescent="0.25">
      <c r="A85" s="43"/>
      <c r="B85" s="45"/>
      <c r="C85" s="4">
        <v>1</v>
      </c>
      <c r="D85" s="4">
        <v>4</v>
      </c>
      <c r="E85" s="4">
        <v>30</v>
      </c>
      <c r="F85" s="4">
        <v>4.5</v>
      </c>
      <c r="G85" s="4">
        <v>0.188</v>
      </c>
      <c r="H85" s="4">
        <v>20</v>
      </c>
      <c r="I85" s="11">
        <f>10^3*0.06894757*(2*H85*0.188)/(4.5*C85)</f>
        <v>115.2190503111111</v>
      </c>
      <c r="J85" s="4">
        <v>20</v>
      </c>
      <c r="K85" s="11">
        <f>10^3*0.06894757*(2*J85*0.188)/(4.5*E85)</f>
        <v>3.8406350103703701</v>
      </c>
      <c r="L85" s="4">
        <v>20</v>
      </c>
      <c r="M85" s="11">
        <f>10^3*0.06894757*(2*L85*0.188)/(4.5*I85)</f>
        <v>1</v>
      </c>
      <c r="N85" s="4">
        <v>19.899999999999999</v>
      </c>
      <c r="O85" s="11">
        <f>10^3*0.06894757*(2*N85*0.188)/(4.5*K85)</f>
        <v>29.849999999999998</v>
      </c>
      <c r="P85" s="4">
        <v>19</v>
      </c>
      <c r="Q85" s="11">
        <f>10^3*0.06894757*(2*P85*0.188)/(4.5*M85)</f>
        <v>109.45809779555556</v>
      </c>
      <c r="R85" s="4">
        <v>17.899999999999999</v>
      </c>
      <c r="S85" s="11">
        <f>10^3*0.06894757*(2*R85*0.188)/(4.5*O85)</f>
        <v>3.4546415419914389</v>
      </c>
      <c r="T85" s="4">
        <v>17.3</v>
      </c>
      <c r="U85" s="11">
        <f>10^3*0.06894757*(2*T85*0.188)/(4.5*Q85)</f>
        <v>0.91052631578947363</v>
      </c>
      <c r="V85" s="4">
        <v>16.7</v>
      </c>
      <c r="W85" s="11">
        <f>10^3*0.06894757*(2*V85*0.188)/(4.5*S85)</f>
        <v>27.848882681564241</v>
      </c>
      <c r="X85" s="4">
        <v>13.9</v>
      </c>
      <c r="Y85" s="11">
        <f>10^3*0.06894757*(2*X85*0.188)/(4.5*U85)</f>
        <v>87.946101697007066</v>
      </c>
      <c r="Z85" s="4">
        <v>11.4</v>
      </c>
      <c r="AA85" s="12">
        <f>10^3*0.06894757*(2*Z85*0.188)/(4.5*W85)</f>
        <v>2.358258298125893</v>
      </c>
    </row>
    <row r="86" spans="1:27" x14ac:dyDescent="0.25">
      <c r="A86" s="43"/>
      <c r="B86" s="45"/>
      <c r="C86" s="4">
        <v>1</v>
      </c>
      <c r="D86" s="4">
        <v>4</v>
      </c>
      <c r="E86" s="4">
        <v>40</v>
      </c>
      <c r="F86" s="4">
        <v>4.5</v>
      </c>
      <c r="G86" s="4">
        <v>0.23699999999999999</v>
      </c>
      <c r="H86" s="4">
        <v>20</v>
      </c>
      <c r="I86" s="11">
        <f>10^3*0.06894757*(2*H86*0.237)/(4.5*$C$86)</f>
        <v>145.24954746666668</v>
      </c>
      <c r="J86" s="4">
        <v>20</v>
      </c>
      <c r="K86" s="11">
        <f>10^3*0.06894757*(2*J86*0.237)/(4.5*$C$86)</f>
        <v>145.24954746666668</v>
      </c>
      <c r="L86" s="4">
        <v>20</v>
      </c>
      <c r="M86" s="11">
        <f>10^3*0.06894757*(2*L86*0.237)/(4.5*$C$86)</f>
        <v>145.24954746666668</v>
      </c>
      <c r="N86" s="4">
        <v>19.899999999999999</v>
      </c>
      <c r="O86" s="11">
        <f>10^3*0.06894757*(2*N86*0.237)/(4.5*$C$86)</f>
        <v>144.52329972933333</v>
      </c>
      <c r="P86" s="4">
        <v>19</v>
      </c>
      <c r="Q86" s="11">
        <f>10^3*0.06894757*(2*P86*0.237)/(4.5*$C$86)</f>
        <v>137.98707009333333</v>
      </c>
      <c r="R86" s="4">
        <v>17.899999999999999</v>
      </c>
      <c r="S86" s="11">
        <f>10^3*0.06894757*(2*R86*0.237)/(4.5*$C$86)</f>
        <v>129.99834498266665</v>
      </c>
      <c r="T86" s="4">
        <v>17.3</v>
      </c>
      <c r="U86" s="11">
        <f>10^3*0.06894757*(2*T86*0.237)/(4.5*$C$86)</f>
        <v>125.64085855866668</v>
      </c>
      <c r="V86" s="4">
        <v>16.7</v>
      </c>
      <c r="W86" s="11">
        <f>10^3*0.06894757*(2*V86*0.237)/(4.5*$C$86)</f>
        <v>121.28337213466665</v>
      </c>
      <c r="X86" s="4">
        <v>13.9</v>
      </c>
      <c r="Y86" s="11">
        <f>10^3*0.06894757*(2*X86*0.237)/(4.5*$C$86)</f>
        <v>100.94843548933333</v>
      </c>
      <c r="Z86" s="4">
        <v>11.4</v>
      </c>
      <c r="AA86" s="12">
        <f>10^3*0.06894757*(2*Z86*0.237)/(4.5*$C$86)</f>
        <v>82.792242056000006</v>
      </c>
    </row>
    <row r="87" spans="1:27" x14ac:dyDescent="0.25">
      <c r="A87" s="43"/>
      <c r="B87" s="45"/>
      <c r="C87" s="4">
        <v>1</v>
      </c>
      <c r="D87" s="4">
        <v>4</v>
      </c>
      <c r="E87" s="4">
        <v>80</v>
      </c>
      <c r="F87" s="4">
        <v>4.5</v>
      </c>
      <c r="G87" s="4">
        <v>0.33700000000000002</v>
      </c>
      <c r="H87" s="4">
        <v>20</v>
      </c>
      <c r="I87" s="11">
        <f>10^3*0.06894757*(2*H87*0.337)/(4.5*C87)</f>
        <v>206.53627635555554</v>
      </c>
      <c r="J87" s="4">
        <v>20</v>
      </c>
      <c r="K87" s="11">
        <f>10^3*0.06894757*(2*J87*0.337)/(4.5*E87)</f>
        <v>2.5817034544444444</v>
      </c>
      <c r="L87" s="4">
        <v>20</v>
      </c>
      <c r="M87" s="11">
        <f>10^3*0.06894757*(2*L87*0.337)/(4.5*I87)</f>
        <v>1</v>
      </c>
      <c r="N87" s="4">
        <v>19.899999999999999</v>
      </c>
      <c r="O87" s="11">
        <f>10^3*0.06894757*(2*N87*0.337)/(4.5*K87)</f>
        <v>79.599999999999994</v>
      </c>
      <c r="P87" s="4">
        <v>19</v>
      </c>
      <c r="Q87" s="11">
        <f>10^3*0.06894757*(2*P87*0.337)/(4.5*M87)</f>
        <v>196.20946253777777</v>
      </c>
      <c r="R87" s="4">
        <v>17.899999999999999</v>
      </c>
      <c r="S87" s="11">
        <f>10^3*0.06894757*(2*R87*0.337)/(4.5*O87)</f>
        <v>2.3222357705806815</v>
      </c>
      <c r="T87" s="4">
        <v>17.3</v>
      </c>
      <c r="U87" s="11">
        <f>10^3*0.06894757*(2*T87*0.337)/(4.5*Q87)</f>
        <v>0.91052631578947385</v>
      </c>
      <c r="V87" s="4">
        <v>16.7</v>
      </c>
      <c r="W87" s="11">
        <f>10^3*0.06894757*(2*V87*0.337)/(4.5*S87)</f>
        <v>74.263687150837981</v>
      </c>
      <c r="X87" s="4">
        <v>13.9</v>
      </c>
      <c r="Y87" s="11">
        <f>10^3*0.06894757*(2*X87*0.337)/(4.5*U87)</f>
        <v>157.64806527601797</v>
      </c>
      <c r="Z87" s="4">
        <v>11.4</v>
      </c>
      <c r="AA87" s="12">
        <f>10^3*0.06894757*(2*Z87*0.337)/(4.5*W87)</f>
        <v>1.5852387894981899</v>
      </c>
    </row>
    <row r="88" spans="1:27" ht="16.5" thickBot="1" x14ac:dyDescent="0.3">
      <c r="A88" s="43"/>
      <c r="B88" s="46"/>
      <c r="C88" s="5">
        <v>1</v>
      </c>
      <c r="D88" s="5">
        <v>4</v>
      </c>
      <c r="E88" s="5">
        <v>160</v>
      </c>
      <c r="F88" s="5">
        <v>4.5</v>
      </c>
      <c r="G88" s="5">
        <v>0.53100000000000003</v>
      </c>
      <c r="H88" s="5">
        <v>20</v>
      </c>
      <c r="I88" s="13">
        <f>10^3*0.06894757*(2*H88*0.531)/(4.5*$C$88)</f>
        <v>325.43253040000002</v>
      </c>
      <c r="J88" s="5">
        <v>20</v>
      </c>
      <c r="K88" s="13">
        <f>10^3*0.06894757*(2*J88*0.531)/(4.5*$C$88)</f>
        <v>325.43253040000002</v>
      </c>
      <c r="L88" s="5">
        <v>20</v>
      </c>
      <c r="M88" s="13">
        <f>10^3*0.06894757*(2*L88*0.531)/(4.5*$C$88)</f>
        <v>325.43253040000002</v>
      </c>
      <c r="N88" s="5">
        <v>19.899999999999999</v>
      </c>
      <c r="O88" s="13">
        <f>10^3*0.06894757*(2*N88*0.531)/(4.5*$C$88)</f>
        <v>323.80536774799998</v>
      </c>
      <c r="P88" s="5">
        <v>19</v>
      </c>
      <c r="Q88" s="13">
        <f>10^3*0.06894757*(2*P88*0.531)/(4.5*$C$88)</f>
        <v>309.16090387999998</v>
      </c>
      <c r="R88" s="5">
        <v>17.899999999999999</v>
      </c>
      <c r="S88" s="13">
        <f>10^3*0.06894757*(2*R88*0.531)/(4.5*$C$88)</f>
        <v>291.26211470799996</v>
      </c>
      <c r="T88" s="5">
        <v>17.3</v>
      </c>
      <c r="U88" s="13">
        <f>10^3*0.06894757*(2*T88*0.531)/(4.5*$C$88)</f>
        <v>281.49913879600007</v>
      </c>
      <c r="V88" s="5">
        <v>16.7</v>
      </c>
      <c r="W88" s="13">
        <f>10^3*0.06894757*(2*V88*0.531)/(4.5*$C$88)</f>
        <v>271.73616288400001</v>
      </c>
      <c r="X88" s="5">
        <v>13.9</v>
      </c>
      <c r="Y88" s="13">
        <f>10^3*0.06894757*(2*X88*0.531)/(4.5*$C$88)</f>
        <v>226.17560862800002</v>
      </c>
      <c r="Z88" s="5">
        <v>11.4</v>
      </c>
      <c r="AA88" s="14">
        <f>10^3*0.06894757*(2*Z88*0.531)/(4.5*$C$88)</f>
        <v>185.49654232800003</v>
      </c>
    </row>
    <row r="89" spans="1:27" x14ac:dyDescent="0.25">
      <c r="A89" s="43"/>
      <c r="B89" s="44" t="s">
        <v>6</v>
      </c>
      <c r="C89" s="3">
        <v>1</v>
      </c>
      <c r="D89" s="3">
        <v>4</v>
      </c>
      <c r="E89" s="3">
        <v>5</v>
      </c>
      <c r="F89" s="19">
        <v>4.5</v>
      </c>
      <c r="G89" s="3">
        <v>8.3000000000000004E-2</v>
      </c>
      <c r="H89" s="6">
        <v>23.3</v>
      </c>
      <c r="I89" s="9">
        <f>10^3*0.06894757*(2*H89*0.083)/(4.5*$C$89)</f>
        <v>59.261202499111114</v>
      </c>
      <c r="J89" s="6">
        <v>23.3</v>
      </c>
      <c r="K89" s="9">
        <f>10^3*0.06894757*(2*J89*0.083)/(4.5*$C$89)</f>
        <v>59.261202499111114</v>
      </c>
      <c r="L89" s="6">
        <v>23.3</v>
      </c>
      <c r="M89" s="9">
        <f>10^3*0.06894757*(2*L89*0.083)/(4.5*$C$89)</f>
        <v>59.261202499111114</v>
      </c>
      <c r="N89" s="6">
        <v>22.8</v>
      </c>
      <c r="O89" s="9">
        <f>10^3*0.06894757*(2*N89*0.083)/(4.5*$C$89)</f>
        <v>57.98950287466667</v>
      </c>
      <c r="P89" s="6">
        <v>21.7</v>
      </c>
      <c r="Q89" s="9">
        <f>10^3*0.06894757*(2*P89*0.083)/(4.5*$C$89)</f>
        <v>55.191763700888892</v>
      </c>
      <c r="R89" s="6">
        <v>20.399999999999999</v>
      </c>
      <c r="S89" s="9">
        <f>10^3*0.06894757*(2*R89*0.083)/(4.5*$C$89)</f>
        <v>51.885344677333336</v>
      </c>
      <c r="T89" s="6">
        <v>19.8</v>
      </c>
      <c r="U89" s="9">
        <f>10^3*0.06894757*(2*T89*0.083)/(4.5*$C$89)</f>
        <v>50.359305128000003</v>
      </c>
      <c r="V89" s="6">
        <v>18.3</v>
      </c>
      <c r="W89" s="9">
        <f>10^3*0.06894757*(2*V89*0.083)/(4.5*$C$89)</f>
        <v>46.544206254666669</v>
      </c>
      <c r="X89" s="6">
        <v>14.8</v>
      </c>
      <c r="Y89" s="9">
        <f>10^3*0.06894757*(2*X89*0.083)/(4.5*$C$89)</f>
        <v>37.642308883555557</v>
      </c>
      <c r="Z89" s="6">
        <v>12</v>
      </c>
      <c r="AA89" s="10">
        <f>10^3*0.06894757*(2*Z89*0.083)/(4.5*$C$89)</f>
        <v>30.520790986666668</v>
      </c>
    </row>
    <row r="90" spans="1:27" x14ac:dyDescent="0.25">
      <c r="A90" s="43"/>
      <c r="B90" s="45"/>
      <c r="C90" s="4">
        <v>1</v>
      </c>
      <c r="D90" s="4">
        <v>4</v>
      </c>
      <c r="E90" s="4">
        <v>10</v>
      </c>
      <c r="F90" s="4">
        <v>4.5</v>
      </c>
      <c r="G90" s="4">
        <v>0.12</v>
      </c>
      <c r="H90" s="7">
        <v>23.3</v>
      </c>
      <c r="I90" s="11">
        <f>10^3*0.06894757*(2*H90*0.12)/(4.5*$C$90)</f>
        <v>85.678846986666656</v>
      </c>
      <c r="J90" s="7">
        <v>23.3</v>
      </c>
      <c r="K90" s="11">
        <f>10^3*0.06894757*(2*J90*0.12)/(4.5*$C$90)</f>
        <v>85.678846986666656</v>
      </c>
      <c r="L90" s="7">
        <v>23.3</v>
      </c>
      <c r="M90" s="11">
        <f>10^3*0.06894757*(2*L90*0.12)/(4.5*$C$90)</f>
        <v>85.678846986666656</v>
      </c>
      <c r="N90" s="7">
        <v>22.8</v>
      </c>
      <c r="O90" s="11">
        <f>10^3*0.06894757*(2*N90*0.12)/(4.5*$C$90)</f>
        <v>83.840245119999992</v>
      </c>
      <c r="P90" s="7">
        <v>21.7</v>
      </c>
      <c r="Q90" s="11">
        <f>10^3*0.06894757*(2*P90*0.12)/(4.5*$C$90)</f>
        <v>79.795321013333322</v>
      </c>
      <c r="R90" s="7">
        <v>20.399999999999999</v>
      </c>
      <c r="S90" s="11">
        <f>10^3*0.06894757*(2*R90*0.12)/(4.5*$C$90)</f>
        <v>75.014956159999997</v>
      </c>
      <c r="T90" s="7">
        <v>19.8</v>
      </c>
      <c r="U90" s="11">
        <f>10^3*0.06894757*(2*T90*0.12)/(4.5*$C$90)</f>
        <v>72.808633919999991</v>
      </c>
      <c r="V90" s="7">
        <v>18.3</v>
      </c>
      <c r="W90" s="11">
        <f>10^3*0.06894757*(2*V90*0.12)/(4.5*$C$90)</f>
        <v>67.292828319999998</v>
      </c>
      <c r="X90" s="7">
        <v>14.8</v>
      </c>
      <c r="Y90" s="11">
        <f>10^3*0.06894757*(2*X90*0.12)/(4.5*$C$90)</f>
        <v>54.422615253333333</v>
      </c>
      <c r="Z90" s="7">
        <v>12</v>
      </c>
      <c r="AA90" s="12">
        <f>10^3*0.06894757*(2*Z90*0.12)/(4.5*$C$90)</f>
        <v>44.126444799999994</v>
      </c>
    </row>
    <row r="91" spans="1:27" x14ac:dyDescent="0.25">
      <c r="A91" s="43"/>
      <c r="B91" s="45"/>
      <c r="C91" s="4">
        <v>1</v>
      </c>
      <c r="D91" s="4">
        <v>4</v>
      </c>
      <c r="E91" s="4">
        <v>30</v>
      </c>
      <c r="F91" s="4">
        <v>4.5</v>
      </c>
      <c r="G91" s="4">
        <v>0.188</v>
      </c>
      <c r="H91" s="7">
        <v>23.3</v>
      </c>
      <c r="I91" s="11">
        <f>10^3*0.06894757*(2*H91*0.188)/(4.5*$C$91)</f>
        <v>134.23019361244442</v>
      </c>
      <c r="J91" s="7">
        <v>23.3</v>
      </c>
      <c r="K91" s="11">
        <f>10^3*0.06894757*(2*J91*0.188)/(4.5*$C$91)</f>
        <v>134.23019361244442</v>
      </c>
      <c r="L91" s="7">
        <v>23.3</v>
      </c>
      <c r="M91" s="11">
        <f>10^3*0.06894757*(2*L91*0.188)/(4.5*$C$91)</f>
        <v>134.23019361244442</v>
      </c>
      <c r="N91" s="7">
        <v>22.8</v>
      </c>
      <c r="O91" s="11">
        <f>10^3*0.06894757*(2*N91*0.188)/(4.5*$C$91)</f>
        <v>131.34971735466669</v>
      </c>
      <c r="P91" s="7">
        <v>21.7</v>
      </c>
      <c r="Q91" s="11">
        <f>10^3*0.06894757*(2*P91*0.188)/(4.5*$C$91)</f>
        <v>125.01266958755556</v>
      </c>
      <c r="R91" s="7">
        <v>20.399999999999999</v>
      </c>
      <c r="S91" s="11">
        <f>10^3*0.06894757*(2*R91*0.188)/(4.5*$C$91)</f>
        <v>117.52343131733333</v>
      </c>
      <c r="T91" s="7">
        <v>19.8</v>
      </c>
      <c r="U91" s="11">
        <f>10^3*0.06894757*(2*T91*0.188)/(4.5*$C$91)</f>
        <v>114.06685980799999</v>
      </c>
      <c r="V91" s="7">
        <v>18.3</v>
      </c>
      <c r="W91" s="11">
        <f>10^3*0.06894757*(2*V91*0.188)/(4.5*$C$91)</f>
        <v>105.42543103466667</v>
      </c>
      <c r="X91" s="7">
        <v>14.8</v>
      </c>
      <c r="Y91" s="11">
        <f>10^3*0.06894757*(2*X91*0.188)/(4.5*$C$91)</f>
        <v>85.26209723022221</v>
      </c>
      <c r="Z91" s="7">
        <v>12</v>
      </c>
      <c r="AA91" s="12">
        <f>10^3*0.06894757*(2*Z91*0.188)/(4.5*$C$91)</f>
        <v>69.131430186666677</v>
      </c>
    </row>
    <row r="92" spans="1:27" x14ac:dyDescent="0.25">
      <c r="A92" s="43"/>
      <c r="B92" s="45"/>
      <c r="C92" s="4">
        <v>1</v>
      </c>
      <c r="D92" s="4">
        <v>4</v>
      </c>
      <c r="E92" s="4">
        <v>40</v>
      </c>
      <c r="F92" s="4">
        <v>4.5</v>
      </c>
      <c r="G92" s="4">
        <v>0.23699999999999999</v>
      </c>
      <c r="H92" s="7">
        <v>23.3</v>
      </c>
      <c r="I92" s="11">
        <f>10^3*0.06894757*(2*H92*0.237)/(4.5*$C$92)</f>
        <v>169.21572279866666</v>
      </c>
      <c r="J92" s="7">
        <v>23.3</v>
      </c>
      <c r="K92" s="11">
        <f>10^3*0.06894757*(2*J92*0.237)/(4.5*$C$92)</f>
        <v>169.21572279866666</v>
      </c>
      <c r="L92" s="7">
        <v>23.3</v>
      </c>
      <c r="M92" s="11">
        <f>10^3*0.06894757*(2*L92*0.237)/(4.5*$C$92)</f>
        <v>169.21572279866666</v>
      </c>
      <c r="N92" s="7">
        <v>22.8</v>
      </c>
      <c r="O92" s="11">
        <f>10^3*0.06894757*(2*N92*0.237)/(4.5*$C$92)</f>
        <v>165.58448411200001</v>
      </c>
      <c r="P92" s="7">
        <v>21.7</v>
      </c>
      <c r="Q92" s="11">
        <f>10^3*0.06894757*(2*P92*0.237)/(4.5*$C$92)</f>
        <v>157.59575900133331</v>
      </c>
      <c r="R92" s="7">
        <v>20.399999999999999</v>
      </c>
      <c r="S92" s="11">
        <f>10^3*0.06894757*(2*R92*0.237)/(4.5*$C$92)</f>
        <v>148.15453841599998</v>
      </c>
      <c r="T92" s="7">
        <v>19.8</v>
      </c>
      <c r="U92" s="11">
        <f>10^3*0.06894757*(2*T92*0.237)/(4.5*$C$92)</f>
        <v>143.79705199199998</v>
      </c>
      <c r="V92" s="7">
        <v>18.3</v>
      </c>
      <c r="W92" s="11">
        <f>10^3*0.06894757*(2*V92*0.237)/(4.5*$C$92)</f>
        <v>132.903335932</v>
      </c>
      <c r="X92" s="7">
        <v>14.8</v>
      </c>
      <c r="Y92" s="11">
        <f>10^3*0.06894757*(2*X92*0.237)/(4.5*$C$92)</f>
        <v>107.48466512533334</v>
      </c>
      <c r="Z92" s="7">
        <v>12</v>
      </c>
      <c r="AA92" s="12">
        <f>10^3*0.06894757*(2*Z92*0.237)/(4.5*$C$92)</f>
        <v>87.149728479999993</v>
      </c>
    </row>
    <row r="93" spans="1:27" x14ac:dyDescent="0.25">
      <c r="A93" s="43"/>
      <c r="B93" s="45"/>
      <c r="C93" s="4">
        <v>1</v>
      </c>
      <c r="D93" s="4">
        <v>4</v>
      </c>
      <c r="E93" s="4">
        <v>80</v>
      </c>
      <c r="F93" s="4">
        <v>4.5</v>
      </c>
      <c r="G93" s="4">
        <v>0.33700000000000002</v>
      </c>
      <c r="H93" s="7">
        <v>23.3</v>
      </c>
      <c r="I93" s="11">
        <f>10^3*0.06894757*(2*H93*0.337)/(4.5*$C$93)</f>
        <v>240.61476195422225</v>
      </c>
      <c r="J93" s="7">
        <v>23.3</v>
      </c>
      <c r="K93" s="11">
        <f>10^3*0.06894757*(2*J93*0.337)/(4.5*$C$93)</f>
        <v>240.61476195422225</v>
      </c>
      <c r="L93" s="7">
        <v>23.3</v>
      </c>
      <c r="M93" s="11">
        <f>10^3*0.06894757*(2*L93*0.337)/(4.5*$C$93)</f>
        <v>240.61476195422225</v>
      </c>
      <c r="N93" s="7">
        <v>22.8</v>
      </c>
      <c r="O93" s="11">
        <f>10^3*0.06894757*(2*N93*0.337)/(4.5*$C$93)</f>
        <v>235.45135504533334</v>
      </c>
      <c r="P93" s="7">
        <v>21.7</v>
      </c>
      <c r="Q93" s="11">
        <f>10^3*0.06894757*(2*P93*0.337)/(4.5*$C$93)</f>
        <v>224.09185984577778</v>
      </c>
      <c r="R93" s="7">
        <v>20.399999999999999</v>
      </c>
      <c r="S93" s="11">
        <f>10^3*0.06894757*(2*R93*0.337)/(4.5*$C$93)</f>
        <v>210.66700188266665</v>
      </c>
      <c r="T93" s="7">
        <v>19.8</v>
      </c>
      <c r="U93" s="11">
        <f>10^3*0.06894757*(2*T93*0.337)/(4.5*$C$93)</f>
        <v>204.47091359200004</v>
      </c>
      <c r="V93" s="7">
        <v>18.3</v>
      </c>
      <c r="W93" s="11">
        <f>10^3*0.06894757*(2*V93*0.337)/(4.5*$C$93)</f>
        <v>188.98069286533334</v>
      </c>
      <c r="X93" s="7">
        <v>14.8</v>
      </c>
      <c r="Y93" s="11">
        <f>10^3*0.06894757*(2*X93*0.337)/(4.5*$C$93)</f>
        <v>152.83684450311114</v>
      </c>
      <c r="Z93" s="7">
        <v>12</v>
      </c>
      <c r="AA93" s="12">
        <f>10^3*0.06894757*(2*Z93*0.337)/(4.5*$C$93)</f>
        <v>123.92176581333335</v>
      </c>
    </row>
    <row r="94" spans="1:27" ht="16.5" thickBot="1" x14ac:dyDescent="0.3">
      <c r="A94" s="43"/>
      <c r="B94" s="46"/>
      <c r="C94" s="5">
        <v>1</v>
      </c>
      <c r="D94" s="5">
        <v>4</v>
      </c>
      <c r="E94" s="5">
        <v>160</v>
      </c>
      <c r="F94" s="4">
        <v>4.5</v>
      </c>
      <c r="G94" s="5">
        <v>0.53100000000000003</v>
      </c>
      <c r="H94" s="8">
        <v>23.3</v>
      </c>
      <c r="I94" s="13">
        <f>10^3*0.06894757*(2*H94*0.531)/(4.5*$C$94)</f>
        <v>379.12889791600003</v>
      </c>
      <c r="J94" s="8">
        <v>23.3</v>
      </c>
      <c r="K94" s="13">
        <f>10^3*0.06894757*(2*J94*0.531)/(4.5*$C$94)</f>
        <v>379.12889791600003</v>
      </c>
      <c r="L94" s="8">
        <v>23.3</v>
      </c>
      <c r="M94" s="13">
        <f>10^3*0.06894757*(2*L94*0.531)/(4.5*$C$94)</f>
        <v>379.12889791600003</v>
      </c>
      <c r="N94" s="8">
        <v>22.8</v>
      </c>
      <c r="O94" s="13">
        <f>10^3*0.06894757*(2*N94*0.531)/(4.5*$C$94)</f>
        <v>370.99308465600006</v>
      </c>
      <c r="P94" s="8">
        <v>21.7</v>
      </c>
      <c r="Q94" s="13">
        <f>10^3*0.06894757*(2*P94*0.531)/(4.5*$C$94)</f>
        <v>353.09429548399999</v>
      </c>
      <c r="R94" s="8">
        <v>20.399999999999999</v>
      </c>
      <c r="S94" s="13">
        <f>10^3*0.06894757*(2*R94*0.531)/(4.5*$C$94)</f>
        <v>331.941181008</v>
      </c>
      <c r="T94" s="8">
        <v>19.8</v>
      </c>
      <c r="U94" s="13">
        <f>10^3*0.06894757*(2*T94*0.531)/(4.5*$C$94)</f>
        <v>322.17820509600006</v>
      </c>
      <c r="V94" s="8">
        <v>18.3</v>
      </c>
      <c r="W94" s="13">
        <f>10^3*0.06894757*(2*V94*0.531)/(4.5*$C$94)</f>
        <v>297.77076531600005</v>
      </c>
      <c r="X94" s="8">
        <v>14.8</v>
      </c>
      <c r="Y94" s="13">
        <f>10^3*0.06894757*(2*X94*0.531)/(4.5*$C$94)</f>
        <v>240.82007249599999</v>
      </c>
      <c r="Z94" s="8">
        <v>12</v>
      </c>
      <c r="AA94" s="14">
        <f>10^3*0.06894757*(2*Z94*0.531)/(4.5*$C$94)</f>
        <v>195.25951823999998</v>
      </c>
    </row>
    <row r="95" spans="1:27" x14ac:dyDescent="0.25">
      <c r="A95" s="43" t="s">
        <v>5</v>
      </c>
      <c r="B95" s="44" t="s">
        <v>2</v>
      </c>
      <c r="C95" s="3">
        <v>1</v>
      </c>
      <c r="D95" s="3">
        <v>5</v>
      </c>
      <c r="E95" s="3">
        <v>5</v>
      </c>
      <c r="F95" s="3">
        <v>5.5629999999999997</v>
      </c>
      <c r="G95" s="3">
        <v>0.109</v>
      </c>
      <c r="H95" s="3">
        <v>16</v>
      </c>
      <c r="I95" s="9">
        <f>10^3*0.06894757*(2*H95*0.109)/(5.563*$C$95)</f>
        <v>43.230113996045297</v>
      </c>
      <c r="J95" s="3">
        <v>16</v>
      </c>
      <c r="K95" s="9">
        <f>10^3*0.06894757*(2*J95*0.109)/(5.563*$C$95)</f>
        <v>43.230113996045297</v>
      </c>
      <c r="L95" s="3">
        <v>16</v>
      </c>
      <c r="M95" s="9">
        <f>10^3*0.06894757*(2*L95*0.109)/(5.563*$C$95)</f>
        <v>43.230113996045297</v>
      </c>
      <c r="N95" s="3">
        <v>16</v>
      </c>
      <c r="O95" s="9">
        <f>10^3*0.06894757*(2*N95*0.109)/(5.563*$C$95)</f>
        <v>43.230113996045297</v>
      </c>
      <c r="P95" s="3">
        <v>16</v>
      </c>
      <c r="Q95" s="9">
        <f>10^3*0.06894757*(2*P95*0.109)/(5.563*$C$95)</f>
        <v>43.230113996045297</v>
      </c>
      <c r="R95" s="3">
        <v>15.3</v>
      </c>
      <c r="S95" s="9">
        <f>10^3*0.06894757*(2*R95*0.109)/(5.563*$C$95)</f>
        <v>41.338796508718325</v>
      </c>
      <c r="T95" s="3">
        <v>14.6</v>
      </c>
      <c r="U95" s="9">
        <f>10^3*0.06894757*(2*T95*0.109)/(5.563*$C$95)</f>
        <v>39.447479021391338</v>
      </c>
      <c r="V95" s="3">
        <v>12.5</v>
      </c>
      <c r="W95" s="9">
        <f>10^3*0.06894757*(2*V95*0.109)/(5.563*$C$95)</f>
        <v>33.773526559410392</v>
      </c>
      <c r="X95" s="3">
        <v>10.7</v>
      </c>
      <c r="Y95" s="9">
        <f>10^3*0.06894757*(2*X95*0.109)/(5.563*$C$95)</f>
        <v>28.910138734855291</v>
      </c>
      <c r="Z95" s="3">
        <v>9.1999999999999993</v>
      </c>
      <c r="AA95" s="10">
        <f>10^3*0.06894757*(2*Z95*0.109)/(5.563*$C$95)</f>
        <v>24.857315547726046</v>
      </c>
    </row>
    <row r="96" spans="1:27" x14ac:dyDescent="0.25">
      <c r="A96" s="43"/>
      <c r="B96" s="45"/>
      <c r="C96" s="4">
        <v>1</v>
      </c>
      <c r="D96" s="4">
        <v>5</v>
      </c>
      <c r="E96" s="4">
        <v>10</v>
      </c>
      <c r="F96" s="4">
        <v>5.5629999999999997</v>
      </c>
      <c r="G96" s="4">
        <v>0.13400000000000001</v>
      </c>
      <c r="H96" s="4">
        <v>16</v>
      </c>
      <c r="I96" s="11">
        <f>10^3*0.06894757*(2*H96*0.134)/(5.563*$C$96)</f>
        <v>53.145277756606149</v>
      </c>
      <c r="J96" s="4">
        <v>16</v>
      </c>
      <c r="K96" s="11">
        <f>10^3*0.06894757*(2*J96*0.134)/(5.563*$C$96)</f>
        <v>53.145277756606149</v>
      </c>
      <c r="L96" s="4">
        <v>16</v>
      </c>
      <c r="M96" s="11">
        <f>10^3*0.06894757*(2*L96*0.134)/(5.563*$C$96)</f>
        <v>53.145277756606149</v>
      </c>
      <c r="N96" s="4">
        <v>16</v>
      </c>
      <c r="O96" s="11">
        <f>10^3*0.06894757*(2*N96*0.134)/(5.563*$C$96)</f>
        <v>53.145277756606149</v>
      </c>
      <c r="P96" s="4">
        <v>16</v>
      </c>
      <c r="Q96" s="11">
        <f>10^3*0.06894757*(2*P96*0.134)/(5.563*$C$96)</f>
        <v>53.145277756606149</v>
      </c>
      <c r="R96" s="4">
        <v>15.3</v>
      </c>
      <c r="S96" s="11">
        <f>10^3*0.06894757*(2*R96*0.134)/(5.563*$C$96)</f>
        <v>50.820171854754634</v>
      </c>
      <c r="T96" s="4">
        <v>14.6</v>
      </c>
      <c r="U96" s="11">
        <f>10^3*0.06894757*(2*T96*0.134)/(5.563*$C$96)</f>
        <v>48.495065952903119</v>
      </c>
      <c r="V96" s="4">
        <v>12.5</v>
      </c>
      <c r="W96" s="11">
        <f>10^3*0.06894757*(2*V96*0.134)/(5.563*$C$96)</f>
        <v>41.519748247348552</v>
      </c>
      <c r="X96" s="4">
        <v>10.7</v>
      </c>
      <c r="Y96" s="11">
        <f>10^3*0.06894757*(2*X96*0.134)/(5.563*$C$96)</f>
        <v>35.540904499730367</v>
      </c>
      <c r="Z96" s="4">
        <v>9.1999999999999993</v>
      </c>
      <c r="AA96" s="12">
        <f>10^3*0.06894757*(2*Z96*0.134)/(5.563*$C$96)</f>
        <v>30.558534710048537</v>
      </c>
    </row>
    <row r="97" spans="1:27" x14ac:dyDescent="0.25">
      <c r="A97" s="43"/>
      <c r="B97" s="45"/>
      <c r="C97" s="4">
        <v>1</v>
      </c>
      <c r="D97" s="4">
        <v>5</v>
      </c>
      <c r="E97" s="4">
        <v>30</v>
      </c>
      <c r="F97" s="4">
        <v>5.5629999999999997</v>
      </c>
      <c r="G97" s="4"/>
      <c r="H97" s="4">
        <v>16</v>
      </c>
      <c r="I97" s="11"/>
      <c r="J97" s="4">
        <v>16</v>
      </c>
      <c r="K97" s="11"/>
      <c r="L97" s="4">
        <v>16</v>
      </c>
      <c r="M97" s="11"/>
      <c r="N97" s="4">
        <v>16</v>
      </c>
      <c r="O97" s="11"/>
      <c r="P97" s="4">
        <v>16</v>
      </c>
      <c r="Q97" s="11"/>
      <c r="R97" s="4">
        <v>15.3</v>
      </c>
      <c r="S97" s="11"/>
      <c r="T97" s="4">
        <v>14.6</v>
      </c>
      <c r="U97" s="11"/>
      <c r="V97" s="4">
        <v>12.5</v>
      </c>
      <c r="W97" s="11"/>
      <c r="X97" s="4">
        <v>10.7</v>
      </c>
      <c r="Y97" s="11"/>
      <c r="Z97" s="4">
        <v>9.1999999999999993</v>
      </c>
      <c r="AA97" s="12"/>
    </row>
    <row r="98" spans="1:27" x14ac:dyDescent="0.25">
      <c r="A98" s="43"/>
      <c r="B98" s="45"/>
      <c r="C98" s="4">
        <v>1</v>
      </c>
      <c r="D98" s="4">
        <v>5</v>
      </c>
      <c r="E98" s="4">
        <v>40</v>
      </c>
      <c r="F98" s="4">
        <v>5.5629999999999997</v>
      </c>
      <c r="G98" s="4">
        <v>0.25800000000000001</v>
      </c>
      <c r="H98" s="4">
        <v>16</v>
      </c>
      <c r="I98" s="11">
        <f>10^3*0.06894757*(2*H98*0.258)/(5.563*$C$96)</f>
        <v>102.32449000898796</v>
      </c>
      <c r="J98" s="4">
        <v>16</v>
      </c>
      <c r="K98" s="11">
        <f>10^3*0.06894757*(2*J98*0.258)/(5.563*$C$96)</f>
        <v>102.32449000898796</v>
      </c>
      <c r="L98" s="4">
        <v>16</v>
      </c>
      <c r="M98" s="11">
        <f>10^3*0.06894757*(2*L98*0.258)/(5.563*$C$96)</f>
        <v>102.32449000898796</v>
      </c>
      <c r="N98" s="4">
        <v>16</v>
      </c>
      <c r="O98" s="11">
        <f>10^3*0.06894757*(2*N98*0.258)/(5.563*$C$96)</f>
        <v>102.32449000898796</v>
      </c>
      <c r="P98" s="4">
        <v>16</v>
      </c>
      <c r="Q98" s="11">
        <f>10^3*0.06894757*(2*P98*0.258)/(5.563*$C$96)</f>
        <v>102.32449000898796</v>
      </c>
      <c r="R98" s="4">
        <v>15.3</v>
      </c>
      <c r="S98" s="11">
        <f>10^3*0.06894757*(2*R98*0.258)/(5.563*$C$96)</f>
        <v>97.847793571094755</v>
      </c>
      <c r="T98" s="4">
        <v>14.6</v>
      </c>
      <c r="U98" s="11">
        <f>10^3*0.06894757*(2*T98*0.258)/(5.563*$C$96)</f>
        <v>93.371097133201516</v>
      </c>
      <c r="V98" s="4">
        <v>12.5</v>
      </c>
      <c r="W98" s="11">
        <f>10^3*0.06894757*(2*V98*0.258)/(5.563*$C$96)</f>
        <v>79.941007819521843</v>
      </c>
      <c r="X98" s="4">
        <v>10.7</v>
      </c>
      <c r="Y98" s="11">
        <f>10^3*0.06894757*(2*X98*0.258)/(5.563*$C$96)</f>
        <v>68.429502693510699</v>
      </c>
      <c r="Z98" s="4">
        <v>9.1999999999999993</v>
      </c>
      <c r="AA98" s="12">
        <f>10^3*0.06894757*(2*Z98*0.258)/(5.563*$C$96)</f>
        <v>58.836581755168076</v>
      </c>
    </row>
    <row r="99" spans="1:27" x14ac:dyDescent="0.25">
      <c r="A99" s="43"/>
      <c r="B99" s="45"/>
      <c r="C99" s="4">
        <v>1</v>
      </c>
      <c r="D99" s="4">
        <v>5</v>
      </c>
      <c r="E99" s="4">
        <v>80</v>
      </c>
      <c r="F99" s="4">
        <v>5.5629999999999997</v>
      </c>
      <c r="G99" s="4">
        <v>0.375</v>
      </c>
      <c r="H99" s="4">
        <v>16</v>
      </c>
      <c r="I99" s="11">
        <f>10^3*0.06894757*(2*H99*0.375)/(5.563*$C$99)</f>
        <v>148.72745640841273</v>
      </c>
      <c r="J99" s="4">
        <v>16</v>
      </c>
      <c r="K99" s="11">
        <f>10^3*0.06894757*(2*J99*0.375)/(5.563*$C$99)</f>
        <v>148.72745640841273</v>
      </c>
      <c r="L99" s="4">
        <v>16</v>
      </c>
      <c r="M99" s="11">
        <f>10^3*0.06894757*(2*L99*0.375)/(5.563*$C$99)</f>
        <v>148.72745640841273</v>
      </c>
      <c r="N99" s="4">
        <v>16</v>
      </c>
      <c r="O99" s="11">
        <f>10^3*0.06894757*(2*N99*0.375)/(5.563*$C$99)</f>
        <v>148.72745640841273</v>
      </c>
      <c r="P99" s="4">
        <v>16</v>
      </c>
      <c r="Q99" s="11">
        <f>10^3*0.06894757*(2*P99*0.375)/(5.563*$C$99)</f>
        <v>148.72745640841273</v>
      </c>
      <c r="R99" s="4">
        <v>15.3</v>
      </c>
      <c r="S99" s="11">
        <f>10^3*0.06894757*(2*R99*0.375)/(5.563*$C$99)</f>
        <v>142.22063019054471</v>
      </c>
      <c r="T99" s="4">
        <v>14.6</v>
      </c>
      <c r="U99" s="11">
        <f>10^3*0.06894757*(2*T99*0.375)/(5.563*$C$99)</f>
        <v>135.71380397267663</v>
      </c>
      <c r="V99" s="4">
        <v>12.5</v>
      </c>
      <c r="W99" s="11">
        <f>10^3*0.06894757*(2*V99*0.375)/(5.563*$C$99)</f>
        <v>116.19332531907246</v>
      </c>
      <c r="X99" s="4">
        <v>10.7</v>
      </c>
      <c r="Y99" s="11">
        <f>10^3*0.06894757*(2*X99*0.375)/(5.563*$C$99)</f>
        <v>99.461486473126001</v>
      </c>
      <c r="Z99" s="4">
        <v>9.1999999999999993</v>
      </c>
      <c r="AA99" s="12">
        <f>10^3*0.06894757*(2*Z99*0.375)/(5.563*$C$99)</f>
        <v>85.518287434837319</v>
      </c>
    </row>
    <row r="100" spans="1:27" ht="16.5" thickBot="1" x14ac:dyDescent="0.3">
      <c r="A100" s="43"/>
      <c r="B100" s="46"/>
      <c r="C100" s="5">
        <v>1</v>
      </c>
      <c r="D100" s="5">
        <v>5</v>
      </c>
      <c r="E100" s="5">
        <v>160</v>
      </c>
      <c r="F100" s="5">
        <v>5.5629999999999997</v>
      </c>
      <c r="G100" s="5">
        <v>0.625</v>
      </c>
      <c r="H100" s="5">
        <v>16</v>
      </c>
      <c r="I100" s="13">
        <f>10^3*0.06894757*(2*H100*0.625)/(5.563*$C$100)</f>
        <v>247.87909401402121</v>
      </c>
      <c r="J100" s="5">
        <v>16</v>
      </c>
      <c r="K100" s="13">
        <f>10^3*0.06894757*(2*J100*0.625)/(5.563*$C$100)</f>
        <v>247.87909401402121</v>
      </c>
      <c r="L100" s="5">
        <v>16</v>
      </c>
      <c r="M100" s="13">
        <f>10^3*0.06894757*(2*L100*0.625)/(5.563*$C$100)</f>
        <v>247.87909401402121</v>
      </c>
      <c r="N100" s="5">
        <v>16</v>
      </c>
      <c r="O100" s="13">
        <f>10^3*0.06894757*(2*N100*0.625)/(5.563*$C$100)</f>
        <v>247.87909401402121</v>
      </c>
      <c r="P100" s="5">
        <v>16</v>
      </c>
      <c r="Q100" s="13">
        <f>10^3*0.06894757*(2*P100*0.625)/(5.563*$C$100)</f>
        <v>247.87909401402121</v>
      </c>
      <c r="R100" s="5">
        <v>15.3</v>
      </c>
      <c r="S100" s="13">
        <f>10^3*0.06894757*(2*R100*0.625)/(5.563*$C$100)</f>
        <v>237.03438365090778</v>
      </c>
      <c r="T100" s="5">
        <v>14.6</v>
      </c>
      <c r="U100" s="13">
        <f>10^3*0.06894757*(2*T100*0.625)/(5.563*$C$100)</f>
        <v>226.18967328779436</v>
      </c>
      <c r="V100" s="5">
        <v>12.5</v>
      </c>
      <c r="W100" s="13">
        <f>10^3*0.06894757*(2*V100*0.625)/(5.563*$C$100)</f>
        <v>193.65554219845407</v>
      </c>
      <c r="X100" s="5">
        <v>10.7</v>
      </c>
      <c r="Y100" s="13">
        <f>10^3*0.06894757*(2*X100*0.625)/(5.563*$C$100)</f>
        <v>165.76914412187668</v>
      </c>
      <c r="Z100" s="5">
        <v>9.1999999999999993</v>
      </c>
      <c r="AA100" s="14">
        <f>10^3*0.06894757*(2*Z100*0.625)/(5.563*$C$100)</f>
        <v>142.53047905806221</v>
      </c>
    </row>
    <row r="101" spans="1:27" x14ac:dyDescent="0.25">
      <c r="A101" s="43"/>
      <c r="B101" s="44" t="s">
        <v>1</v>
      </c>
      <c r="C101" s="3">
        <v>1</v>
      </c>
      <c r="D101" s="3">
        <v>5</v>
      </c>
      <c r="E101" s="3">
        <v>5</v>
      </c>
      <c r="F101" s="19">
        <v>5.5629999999999997</v>
      </c>
      <c r="G101" s="3">
        <v>0.109</v>
      </c>
      <c r="H101" s="3">
        <v>20</v>
      </c>
      <c r="I101" s="9">
        <f>10^3*0.06894757*(2*H101*0.109)/(5.563*$C$95)</f>
        <v>54.03764249505663</v>
      </c>
      <c r="J101" s="3">
        <v>20</v>
      </c>
      <c r="K101" s="9">
        <f>10^3*0.06894757*(2*J101*0.109)/(5.563*$C$95)</f>
        <v>54.03764249505663</v>
      </c>
      <c r="L101" s="3">
        <v>20</v>
      </c>
      <c r="M101" s="9">
        <f>10^3*0.06894757*(2*L101*0.109)/(5.563*$C$95)</f>
        <v>54.03764249505663</v>
      </c>
      <c r="N101" s="3">
        <v>19.899999999999999</v>
      </c>
      <c r="O101" s="9">
        <f>10^3*0.06894757*(2*N101*0.109)/(5.563*$C$95)</f>
        <v>53.767454282581333</v>
      </c>
      <c r="P101" s="3">
        <v>19</v>
      </c>
      <c r="Q101" s="9">
        <f>10^3*0.06894757*(2*P101*0.109)/(5.563*$C$95)</f>
        <v>51.335760370303802</v>
      </c>
      <c r="R101" s="3">
        <v>17.899999999999999</v>
      </c>
      <c r="S101" s="9">
        <f>10^3*0.06894757*(2*R101*0.109)/(5.563*$C$95)</f>
        <v>48.363690033075677</v>
      </c>
      <c r="T101" s="3">
        <v>17.3</v>
      </c>
      <c r="U101" s="9">
        <f>10^3*0.06894757*(2*T101*0.109)/(5.563*$C$95)</f>
        <v>46.742560758223988</v>
      </c>
      <c r="V101" s="3">
        <v>16.7</v>
      </c>
      <c r="W101" s="9">
        <f>10^3*0.06894757*(2*V101*0.109)/(5.563*$C$95)</f>
        <v>45.121431483372277</v>
      </c>
      <c r="X101" s="3">
        <v>13.9</v>
      </c>
      <c r="Y101" s="9">
        <f>10^3*0.06894757*(2*X101*0.109)/(5.563*$C$95)</f>
        <v>37.556161534064358</v>
      </c>
      <c r="Z101" s="3">
        <v>11.4</v>
      </c>
      <c r="AA101" s="10">
        <f>10^3*0.06894757*(2*Z101*0.109)/(5.563*$C$95)</f>
        <v>30.801456222182274</v>
      </c>
    </row>
    <row r="102" spans="1:27" x14ac:dyDescent="0.25">
      <c r="A102" s="43"/>
      <c r="B102" s="45"/>
      <c r="C102" s="4">
        <v>1</v>
      </c>
      <c r="D102" s="4">
        <v>5</v>
      </c>
      <c r="E102" s="4">
        <v>10</v>
      </c>
      <c r="F102" s="4">
        <v>5.5629999999999997</v>
      </c>
      <c r="G102" s="4">
        <v>0.13400000000000001</v>
      </c>
      <c r="H102" s="4">
        <v>20</v>
      </c>
      <c r="I102" s="11">
        <f>10^3*0.06894757*(2*H102*0.134)/(5.563*$C$96)</f>
        <v>66.431597195757689</v>
      </c>
      <c r="J102" s="4">
        <v>20</v>
      </c>
      <c r="K102" s="11">
        <f>10^3*0.06894757*(2*J102*0.134)/(5.563*$C$96)</f>
        <v>66.431597195757689</v>
      </c>
      <c r="L102" s="4">
        <v>20</v>
      </c>
      <c r="M102" s="11">
        <f>10^3*0.06894757*(2*L102*0.134)/(5.563*$C$96)</f>
        <v>66.431597195757689</v>
      </c>
      <c r="N102" s="4">
        <v>19.899999999999999</v>
      </c>
      <c r="O102" s="11">
        <f>10^3*0.06894757*(2*N102*0.134)/(5.563*$C$96)</f>
        <v>66.099439209778893</v>
      </c>
      <c r="P102" s="4">
        <v>19</v>
      </c>
      <c r="Q102" s="11">
        <f>10^3*0.06894757*(2*P102*0.134)/(5.563*$C$96)</f>
        <v>63.110017335969808</v>
      </c>
      <c r="R102" s="4">
        <v>17.899999999999999</v>
      </c>
      <c r="S102" s="11">
        <f>10^3*0.06894757*(2*R102*0.134)/(5.563*$C$96)</f>
        <v>59.45627949020313</v>
      </c>
      <c r="T102" s="4">
        <v>17.3</v>
      </c>
      <c r="U102" s="11">
        <f>10^3*0.06894757*(2*T102*0.134)/(5.563*$C$96)</f>
        <v>57.463331574330404</v>
      </c>
      <c r="V102" s="4">
        <v>16.7</v>
      </c>
      <c r="W102" s="11">
        <f>10^3*0.06894757*(2*V102*0.134)/(5.563*$C$96)</f>
        <v>55.470383658457671</v>
      </c>
      <c r="X102" s="4">
        <v>13.9</v>
      </c>
      <c r="Y102" s="11">
        <f>10^3*0.06894757*(2*X102*0.134)/(5.563*$C$96)</f>
        <v>46.169960051051596</v>
      </c>
      <c r="Z102" s="4">
        <v>11.4</v>
      </c>
      <c r="AA102" s="12">
        <f>10^3*0.06894757*(2*Z102*0.134)/(5.563*$C$96)</f>
        <v>37.866010401581882</v>
      </c>
    </row>
    <row r="103" spans="1:27" x14ac:dyDescent="0.25">
      <c r="A103" s="43"/>
      <c r="B103" s="45"/>
      <c r="C103" s="4">
        <v>1</v>
      </c>
      <c r="D103" s="4">
        <v>5</v>
      </c>
      <c r="E103" s="4">
        <v>30</v>
      </c>
      <c r="F103" s="4">
        <v>5.5629999999999997</v>
      </c>
      <c r="G103" s="4"/>
      <c r="H103" s="4">
        <v>20</v>
      </c>
      <c r="I103" s="11"/>
      <c r="J103" s="4">
        <v>20</v>
      </c>
      <c r="K103" s="11"/>
      <c r="L103" s="4">
        <v>20</v>
      </c>
      <c r="M103" s="11"/>
      <c r="N103" s="4">
        <v>19.899999999999999</v>
      </c>
      <c r="O103" s="11"/>
      <c r="P103" s="4">
        <v>19</v>
      </c>
      <c r="Q103" s="11"/>
      <c r="R103" s="4">
        <v>17.899999999999999</v>
      </c>
      <c r="S103" s="11"/>
      <c r="T103" s="4">
        <v>17.3</v>
      </c>
      <c r="U103" s="11"/>
      <c r="V103" s="4">
        <v>16.7</v>
      </c>
      <c r="W103" s="11"/>
      <c r="X103" s="4">
        <v>13.9</v>
      </c>
      <c r="Y103" s="11"/>
      <c r="Z103" s="4">
        <v>11.4</v>
      </c>
      <c r="AA103" s="12"/>
    </row>
    <row r="104" spans="1:27" x14ac:dyDescent="0.25">
      <c r="A104" s="43"/>
      <c r="B104" s="45"/>
      <c r="C104" s="4">
        <v>1</v>
      </c>
      <c r="D104" s="4">
        <v>5</v>
      </c>
      <c r="E104" s="4">
        <v>40</v>
      </c>
      <c r="F104" s="4">
        <v>5.5629999999999997</v>
      </c>
      <c r="G104" s="4">
        <v>0.25800000000000001</v>
      </c>
      <c r="H104" s="4">
        <v>20</v>
      </c>
      <c r="I104" s="11">
        <f>10^3*0.06894757*(2*H104*0.258)/(5.563*$C$96)</f>
        <v>127.90561251123496</v>
      </c>
      <c r="J104" s="4">
        <v>20</v>
      </c>
      <c r="K104" s="11">
        <f>10^3*0.06894757*(2*J104*0.258)/(5.563*$C$96)</f>
        <v>127.90561251123496</v>
      </c>
      <c r="L104" s="4">
        <v>20</v>
      </c>
      <c r="M104" s="11">
        <f>10^3*0.06894757*(2*L104*0.258)/(5.563*$C$96)</f>
        <v>127.90561251123496</v>
      </c>
      <c r="N104" s="4">
        <v>19.899999999999999</v>
      </c>
      <c r="O104" s="11">
        <f>10^3*0.06894757*(2*N104*0.258)/(5.563*$C$96)</f>
        <v>127.26608444867877</v>
      </c>
      <c r="P104" s="4">
        <v>19</v>
      </c>
      <c r="Q104" s="11">
        <f>10^3*0.06894757*(2*P104*0.258)/(5.563*$C$96)</f>
        <v>121.51033188567321</v>
      </c>
      <c r="R104" s="4">
        <v>17.899999999999999</v>
      </c>
      <c r="S104" s="11">
        <f>10^3*0.06894757*(2*R104*0.258)/(5.563*$C$96)</f>
        <v>114.47552319755528</v>
      </c>
      <c r="T104" s="4">
        <v>17.3</v>
      </c>
      <c r="U104" s="11">
        <f>10^3*0.06894757*(2*T104*0.258)/(5.563*$C$96)</f>
        <v>110.63835482221823</v>
      </c>
      <c r="V104" s="4">
        <v>16.7</v>
      </c>
      <c r="W104" s="11">
        <f>10^3*0.06894757*(2*V104*0.258)/(5.563*$C$96)</f>
        <v>106.80118644688119</v>
      </c>
      <c r="X104" s="4">
        <v>13.9</v>
      </c>
      <c r="Y104" s="11">
        <f>10^3*0.06894757*(2*X104*0.258)/(5.563*$C$96)</f>
        <v>88.894400695308306</v>
      </c>
      <c r="Z104" s="4">
        <v>11.4</v>
      </c>
      <c r="AA104" s="12">
        <f>10^3*0.06894757*(2*Z104*0.258)/(5.563*$C$96)</f>
        <v>72.906199131403937</v>
      </c>
    </row>
    <row r="105" spans="1:27" x14ac:dyDescent="0.25">
      <c r="A105" s="43"/>
      <c r="B105" s="45"/>
      <c r="C105" s="4">
        <v>1</v>
      </c>
      <c r="D105" s="4">
        <v>5</v>
      </c>
      <c r="E105" s="4">
        <v>80</v>
      </c>
      <c r="F105" s="4">
        <v>5.5629999999999997</v>
      </c>
      <c r="G105" s="4">
        <v>0.375</v>
      </c>
      <c r="H105" s="4">
        <v>20</v>
      </c>
      <c r="I105" s="11">
        <f>10^3*0.06894757*(2*H105*0.375)/(5.563*$C$99)</f>
        <v>185.9093205105159</v>
      </c>
      <c r="J105" s="4">
        <v>20</v>
      </c>
      <c r="K105" s="11">
        <f>10^3*0.06894757*(2*J105*0.375)/(5.563*$C$99)</f>
        <v>185.9093205105159</v>
      </c>
      <c r="L105" s="4">
        <v>20</v>
      </c>
      <c r="M105" s="11">
        <f>10^3*0.06894757*(2*L105*0.375)/(5.563*$C$99)</f>
        <v>185.9093205105159</v>
      </c>
      <c r="N105" s="4">
        <v>19.899999999999999</v>
      </c>
      <c r="O105" s="11">
        <f>10^3*0.06894757*(2*N105*0.375)/(5.563*$C$99)</f>
        <v>184.97977390796333</v>
      </c>
      <c r="P105" s="4">
        <v>19</v>
      </c>
      <c r="Q105" s="11">
        <f>10^3*0.06894757*(2*P105*0.375)/(5.563*$C$99)</f>
        <v>176.61385448499013</v>
      </c>
      <c r="R105" s="4">
        <v>17.899999999999999</v>
      </c>
      <c r="S105" s="11">
        <f>10^3*0.06894757*(2*R105*0.375)/(5.563*$C$99)</f>
        <v>166.38884185691171</v>
      </c>
      <c r="T105" s="4">
        <v>17.3</v>
      </c>
      <c r="U105" s="11">
        <f>10^3*0.06894757*(2*T105*0.375)/(5.563*$C$99)</f>
        <v>160.81156224159628</v>
      </c>
      <c r="V105" s="4">
        <v>16.7</v>
      </c>
      <c r="W105" s="11">
        <f>10^3*0.06894757*(2*V105*0.375)/(5.563*$C$99)</f>
        <v>155.23428262628076</v>
      </c>
      <c r="X105" s="4">
        <v>13.9</v>
      </c>
      <c r="Y105" s="11">
        <f>10^3*0.06894757*(2*X105*0.375)/(5.563*$C$99)</f>
        <v>129.20697775480858</v>
      </c>
      <c r="Z105" s="4">
        <v>11.4</v>
      </c>
      <c r="AA105" s="12">
        <f>10^3*0.06894757*(2*Z105*0.375)/(5.563*$C$99)</f>
        <v>105.96831269099408</v>
      </c>
    </row>
    <row r="106" spans="1:27" ht="16.5" thickBot="1" x14ac:dyDescent="0.3">
      <c r="A106" s="43"/>
      <c r="B106" s="46"/>
      <c r="C106" s="5">
        <v>1</v>
      </c>
      <c r="D106" s="5">
        <v>5</v>
      </c>
      <c r="E106" s="5">
        <v>160</v>
      </c>
      <c r="F106" s="5">
        <v>5.5629999999999997</v>
      </c>
      <c r="G106" s="5">
        <v>0.625</v>
      </c>
      <c r="H106" s="5">
        <v>20</v>
      </c>
      <c r="I106" s="13">
        <f>10^3*0.06894757*(2*H106*0.625)/(5.563*$C$100)</f>
        <v>309.84886751752651</v>
      </c>
      <c r="J106" s="5">
        <v>20</v>
      </c>
      <c r="K106" s="13">
        <f>10^3*0.06894757*(2*J106*0.625)/(5.563*$C$100)</f>
        <v>309.84886751752651</v>
      </c>
      <c r="L106" s="5">
        <v>20</v>
      </c>
      <c r="M106" s="13">
        <f>10^3*0.06894757*(2*L106*0.625)/(5.563*$C$100)</f>
        <v>309.84886751752651</v>
      </c>
      <c r="N106" s="5">
        <v>19.899999999999999</v>
      </c>
      <c r="O106" s="13">
        <f>10^3*0.06894757*(2*N106*0.625)/(5.563*$C$100)</f>
        <v>308.29962317993886</v>
      </c>
      <c r="P106" s="5">
        <v>19</v>
      </c>
      <c r="Q106" s="13">
        <f>10^3*0.06894757*(2*P106*0.625)/(5.563*$C$100)</f>
        <v>294.35642414165022</v>
      </c>
      <c r="R106" s="5">
        <v>17.899999999999999</v>
      </c>
      <c r="S106" s="13">
        <f>10^3*0.06894757*(2*R106*0.625)/(5.563*$C$100)</f>
        <v>277.31473642818622</v>
      </c>
      <c r="T106" s="5">
        <v>17.3</v>
      </c>
      <c r="U106" s="13">
        <f>10^3*0.06894757*(2*T106*0.625)/(5.563*$C$100)</f>
        <v>268.01927040266042</v>
      </c>
      <c r="V106" s="5">
        <v>16.7</v>
      </c>
      <c r="W106" s="13">
        <f>10^3*0.06894757*(2*V106*0.625)/(5.563*$C$100)</f>
        <v>258.72380437713463</v>
      </c>
      <c r="X106" s="5">
        <v>13.9</v>
      </c>
      <c r="Y106" s="13">
        <f>10^3*0.06894757*(2*X106*0.625)/(5.563*$C$100)</f>
        <v>215.34496292468091</v>
      </c>
      <c r="Z106" s="5">
        <v>11.4</v>
      </c>
      <c r="AA106" s="14">
        <f>10^3*0.06894757*(2*Z106*0.625)/(5.563*$C$100)</f>
        <v>176.61385448499013</v>
      </c>
    </row>
    <row r="107" spans="1:27" x14ac:dyDescent="0.25">
      <c r="A107" s="43"/>
      <c r="B107" s="44" t="s">
        <v>6</v>
      </c>
      <c r="C107" s="3">
        <v>1</v>
      </c>
      <c r="D107" s="3">
        <v>5</v>
      </c>
      <c r="E107" s="3">
        <v>5</v>
      </c>
      <c r="F107" s="19">
        <v>5.5629999999999997</v>
      </c>
      <c r="G107" s="3">
        <v>0.109</v>
      </c>
      <c r="H107" s="6">
        <v>23.3</v>
      </c>
      <c r="I107" s="9">
        <f>10^3*0.06894757*(2*H107*0.109)/(5.563*$C$95)</f>
        <v>62.95385350674097</v>
      </c>
      <c r="J107" s="6">
        <v>23.3</v>
      </c>
      <c r="K107" s="9">
        <f>10^3*0.06894757*(2*J107*0.109)/(5.563*$C$95)</f>
        <v>62.95385350674097</v>
      </c>
      <c r="L107" s="6">
        <v>23.3</v>
      </c>
      <c r="M107" s="9">
        <f>10^3*0.06894757*(2*L107*0.109)/(5.563*$C$95)</f>
        <v>62.95385350674097</v>
      </c>
      <c r="N107" s="6">
        <v>22.8</v>
      </c>
      <c r="O107" s="9">
        <f>10^3*0.06894757*(2*N107*0.109)/(5.563*$C$95)</f>
        <v>61.602912444364549</v>
      </c>
      <c r="P107" s="6">
        <v>21.7</v>
      </c>
      <c r="Q107" s="9">
        <f>10^3*0.06894757*(2*P107*0.109)/(5.563*$C$95)</f>
        <v>58.630842107136445</v>
      </c>
      <c r="R107" s="6">
        <v>20.399999999999999</v>
      </c>
      <c r="S107" s="9">
        <f>10^3*0.06894757*(2*R107*0.109)/(5.563*$C$95)</f>
        <v>55.118395344957747</v>
      </c>
      <c r="T107" s="6">
        <v>19.8</v>
      </c>
      <c r="U107" s="9">
        <f>10^3*0.06894757*(2*T107*0.109)/(5.563*$C$95)</f>
        <v>53.497266070106058</v>
      </c>
      <c r="V107" s="6">
        <v>18.3</v>
      </c>
      <c r="W107" s="9">
        <f>10^3*0.06894757*(2*V107*0.109)/(5.563*$C$95)</f>
        <v>49.444442882976816</v>
      </c>
      <c r="X107" s="6">
        <v>14.8</v>
      </c>
      <c r="Y107" s="9">
        <f>10^3*0.06894757*(2*X107*0.109)/(5.563*$C$95)</f>
        <v>39.987855446341904</v>
      </c>
      <c r="Z107" s="6">
        <v>12</v>
      </c>
      <c r="AA107" s="10">
        <f>10^3*0.06894757*(2*Z107*0.109)/(5.563*$C$95)</f>
        <v>32.422585497033978</v>
      </c>
    </row>
    <row r="108" spans="1:27" x14ac:dyDescent="0.25">
      <c r="A108" s="43"/>
      <c r="B108" s="45"/>
      <c r="C108" s="4">
        <v>1</v>
      </c>
      <c r="D108" s="4">
        <v>5</v>
      </c>
      <c r="E108" s="4">
        <v>10</v>
      </c>
      <c r="F108" s="4">
        <v>5.5629999999999997</v>
      </c>
      <c r="G108" s="4">
        <v>0.13400000000000001</v>
      </c>
      <c r="H108" s="7">
        <v>23.3</v>
      </c>
      <c r="I108" s="11">
        <f>10^3*0.06894757*(2*H108*0.134)/(5.563*$C$96)</f>
        <v>77.392810733057715</v>
      </c>
      <c r="J108" s="7">
        <v>23.3</v>
      </c>
      <c r="K108" s="11">
        <f>10^3*0.06894757*(2*J108*0.134)/(5.563*$C$96)</f>
        <v>77.392810733057715</v>
      </c>
      <c r="L108" s="7">
        <v>23.3</v>
      </c>
      <c r="M108" s="11">
        <f>10^3*0.06894757*(2*L108*0.134)/(5.563*$C$96)</f>
        <v>77.392810733057715</v>
      </c>
      <c r="N108" s="7">
        <v>22.8</v>
      </c>
      <c r="O108" s="11">
        <f>10^3*0.06894757*(2*N108*0.134)/(5.563*$C$96)</f>
        <v>75.732020803163763</v>
      </c>
      <c r="P108" s="7">
        <v>21.7</v>
      </c>
      <c r="Q108" s="11">
        <f>10^3*0.06894757*(2*P108*0.134)/(5.563*$C$96)</f>
        <v>72.078282957397079</v>
      </c>
      <c r="R108" s="7">
        <v>20.399999999999999</v>
      </c>
      <c r="S108" s="11">
        <f>10^3*0.06894757*(2*R108*0.134)/(5.563*$C$96)</f>
        <v>67.760229139672845</v>
      </c>
      <c r="T108" s="7">
        <v>19.8</v>
      </c>
      <c r="U108" s="11">
        <f>10^3*0.06894757*(2*T108*0.134)/(5.563*$C$96)</f>
        <v>65.767281223800111</v>
      </c>
      <c r="V108" s="7">
        <v>18.3</v>
      </c>
      <c r="W108" s="11">
        <f>10^3*0.06894757*(2*V108*0.134)/(5.563*$C$96)</f>
        <v>60.784911434118293</v>
      </c>
      <c r="X108" s="7">
        <v>14.8</v>
      </c>
      <c r="Y108" s="11">
        <f>10^3*0.06894757*(2*X108*0.134)/(5.563*$C$96)</f>
        <v>49.159381924860689</v>
      </c>
      <c r="Z108" s="7">
        <v>12</v>
      </c>
      <c r="AA108" s="12">
        <f>10^3*0.06894757*(2*Z108*0.134)/(5.563*$C$96)</f>
        <v>39.858958317454615</v>
      </c>
    </row>
    <row r="109" spans="1:27" x14ac:dyDescent="0.25">
      <c r="A109" s="43"/>
      <c r="B109" s="45"/>
      <c r="C109" s="4">
        <v>1</v>
      </c>
      <c r="D109" s="4">
        <v>5</v>
      </c>
      <c r="E109" s="4">
        <v>30</v>
      </c>
      <c r="F109" s="4">
        <v>5.5629999999999997</v>
      </c>
      <c r="G109" s="4"/>
      <c r="H109" s="7">
        <v>23.3</v>
      </c>
      <c r="I109" s="11"/>
      <c r="J109" s="7">
        <v>23.3</v>
      </c>
      <c r="K109" s="11"/>
      <c r="L109" s="7">
        <v>23.3</v>
      </c>
      <c r="M109" s="11"/>
      <c r="N109" s="7">
        <v>22.8</v>
      </c>
      <c r="O109" s="11"/>
      <c r="P109" s="7">
        <v>21.7</v>
      </c>
      <c r="Q109" s="11"/>
      <c r="R109" s="7">
        <v>20.399999999999999</v>
      </c>
      <c r="S109" s="11"/>
      <c r="T109" s="7">
        <v>19.8</v>
      </c>
      <c r="U109" s="11"/>
      <c r="V109" s="7">
        <v>18.3</v>
      </c>
      <c r="W109" s="11"/>
      <c r="X109" s="7">
        <v>14.8</v>
      </c>
      <c r="Y109" s="11"/>
      <c r="Z109" s="7">
        <v>12</v>
      </c>
      <c r="AA109" s="12"/>
    </row>
    <row r="110" spans="1:27" x14ac:dyDescent="0.25">
      <c r="A110" s="43"/>
      <c r="B110" s="45"/>
      <c r="C110" s="4">
        <v>1</v>
      </c>
      <c r="D110" s="4">
        <v>5</v>
      </c>
      <c r="E110" s="4">
        <v>40</v>
      </c>
      <c r="F110" s="4">
        <v>5.5629999999999997</v>
      </c>
      <c r="G110" s="4">
        <v>0.25800000000000001</v>
      </c>
      <c r="H110" s="7">
        <v>23.3</v>
      </c>
      <c r="I110" s="11">
        <f>10^3*0.06894757*(2*H110*0.258)/(5.563*$C$96)</f>
        <v>149.01003857558871</v>
      </c>
      <c r="J110" s="7">
        <v>23.3</v>
      </c>
      <c r="K110" s="11">
        <f>10^3*0.06894757*(2*J110*0.258)/(5.563*$C$96)</f>
        <v>149.01003857558871</v>
      </c>
      <c r="L110" s="7">
        <v>23.3</v>
      </c>
      <c r="M110" s="11">
        <f>10^3*0.06894757*(2*L110*0.258)/(5.563*$C$96)</f>
        <v>149.01003857558871</v>
      </c>
      <c r="N110" s="7">
        <v>22.8</v>
      </c>
      <c r="O110" s="11">
        <f>10^3*0.06894757*(2*N110*0.258)/(5.563*$C$96)</f>
        <v>145.81239826280787</v>
      </c>
      <c r="P110" s="7">
        <v>21.7</v>
      </c>
      <c r="Q110" s="11">
        <f>10^3*0.06894757*(2*P110*0.258)/(5.563*$C$96)</f>
        <v>138.77758957468993</v>
      </c>
      <c r="R110" s="7">
        <v>20.399999999999999</v>
      </c>
      <c r="S110" s="11">
        <f>10^3*0.06894757*(2*R110*0.258)/(5.563*$C$96)</f>
        <v>130.46372476145964</v>
      </c>
      <c r="T110" s="7">
        <v>19.8</v>
      </c>
      <c r="U110" s="11">
        <f>10^3*0.06894757*(2*T110*0.258)/(5.563*$C$96)</f>
        <v>126.62655638612262</v>
      </c>
      <c r="V110" s="7">
        <v>18.3</v>
      </c>
      <c r="W110" s="11">
        <f>10^3*0.06894757*(2*V110*0.258)/(5.563*$C$96)</f>
        <v>117.03363544777997</v>
      </c>
      <c r="X110" s="7">
        <v>14.8</v>
      </c>
      <c r="Y110" s="11">
        <f>10^3*0.06894757*(2*X110*0.258)/(5.563*$C$96)</f>
        <v>94.650153258313878</v>
      </c>
      <c r="Z110" s="7">
        <v>12</v>
      </c>
      <c r="AA110" s="12">
        <f>10^3*0.06894757*(2*Z110*0.258)/(5.563*$C$96)</f>
        <v>76.743367506740981</v>
      </c>
    </row>
    <row r="111" spans="1:27" x14ac:dyDescent="0.25">
      <c r="A111" s="43"/>
      <c r="B111" s="45"/>
      <c r="C111" s="4">
        <v>1</v>
      </c>
      <c r="D111" s="4">
        <v>5</v>
      </c>
      <c r="E111" s="4">
        <v>80</v>
      </c>
      <c r="F111" s="4">
        <v>5.5629999999999997</v>
      </c>
      <c r="G111" s="4">
        <v>0.375</v>
      </c>
      <c r="H111" s="7">
        <v>23.3</v>
      </c>
      <c r="I111" s="11">
        <f>10^3*0.06894757*(2*H111*0.375)/(5.563*$C$99)</f>
        <v>216.58435839475106</v>
      </c>
      <c r="J111" s="7">
        <v>23.3</v>
      </c>
      <c r="K111" s="11">
        <f>10^3*0.06894757*(2*J111*0.375)/(5.563*$C$99)</f>
        <v>216.58435839475106</v>
      </c>
      <c r="L111" s="7">
        <v>23.3</v>
      </c>
      <c r="M111" s="11">
        <f>10^3*0.06894757*(2*L111*0.375)/(5.563*$C$99)</f>
        <v>216.58435839475106</v>
      </c>
      <c r="N111" s="7">
        <v>22.8</v>
      </c>
      <c r="O111" s="11">
        <f>10^3*0.06894757*(2*N111*0.375)/(5.563*$C$99)</f>
        <v>211.93662538198816</v>
      </c>
      <c r="P111" s="7">
        <v>21.7</v>
      </c>
      <c r="Q111" s="11">
        <f>10^3*0.06894757*(2*P111*0.375)/(5.563*$C$99)</f>
        <v>201.71161275390975</v>
      </c>
      <c r="R111" s="7">
        <v>20.399999999999999</v>
      </c>
      <c r="S111" s="11">
        <f>10^3*0.06894757*(2*R111*0.375)/(5.563*$C$99)</f>
        <v>189.62750692072623</v>
      </c>
      <c r="T111" s="7">
        <v>19.8</v>
      </c>
      <c r="U111" s="11">
        <f>10^3*0.06894757*(2*T111*0.375)/(5.563*$C$99)</f>
        <v>184.05022730541077</v>
      </c>
      <c r="V111" s="7">
        <v>18.3</v>
      </c>
      <c r="W111" s="11">
        <f>10^3*0.06894757*(2*V111*0.375)/(5.563*$C$99)</f>
        <v>170.10702826712208</v>
      </c>
      <c r="X111" s="7">
        <v>14.8</v>
      </c>
      <c r="Y111" s="11">
        <f>10^3*0.06894757*(2*X111*0.375)/(5.563*$C$99)</f>
        <v>137.57289717778178</v>
      </c>
      <c r="Z111" s="7">
        <v>12</v>
      </c>
      <c r="AA111" s="12">
        <f>10^3*0.06894757*(2*Z111*0.375)/(5.563*$C$99)</f>
        <v>111.54559230630956</v>
      </c>
    </row>
    <row r="112" spans="1:27" ht="16.5" thickBot="1" x14ac:dyDescent="0.3">
      <c r="A112" s="43"/>
      <c r="B112" s="46"/>
      <c r="C112" s="5">
        <v>1</v>
      </c>
      <c r="D112" s="5">
        <v>5</v>
      </c>
      <c r="E112" s="5">
        <v>160</v>
      </c>
      <c r="F112" s="4">
        <v>5.5629999999999997</v>
      </c>
      <c r="G112" s="5">
        <v>0.625</v>
      </c>
      <c r="H112" s="8">
        <v>23.3</v>
      </c>
      <c r="I112" s="13">
        <f>10^3*0.06894757*(2*H112*0.625)/(5.563*$C$100)</f>
        <v>360.9739306579184</v>
      </c>
      <c r="J112" s="8">
        <v>23.3</v>
      </c>
      <c r="K112" s="13">
        <f>10^3*0.06894757*(2*J112*0.625)/(5.563*$C$100)</f>
        <v>360.9739306579184</v>
      </c>
      <c r="L112" s="8">
        <v>23.3</v>
      </c>
      <c r="M112" s="13">
        <f>10^3*0.06894757*(2*L112*0.625)/(5.563*$C$100)</f>
        <v>360.9739306579184</v>
      </c>
      <c r="N112" s="8">
        <v>22.8</v>
      </c>
      <c r="O112" s="13">
        <f>10^3*0.06894757*(2*N112*0.625)/(5.563*$C$100)</f>
        <v>353.22770896998026</v>
      </c>
      <c r="P112" s="8">
        <v>21.7</v>
      </c>
      <c r="Q112" s="13">
        <f>10^3*0.06894757*(2*P112*0.625)/(5.563*$C$100)</f>
        <v>336.18602125651631</v>
      </c>
      <c r="R112" s="8">
        <v>20.399999999999999</v>
      </c>
      <c r="S112" s="13">
        <f>10^3*0.06894757*(2*R112*0.625)/(5.563*$C$100)</f>
        <v>316.04584486787707</v>
      </c>
      <c r="T112" s="8">
        <v>19.8</v>
      </c>
      <c r="U112" s="13">
        <f>10^3*0.06894757*(2*T112*0.625)/(5.563*$C$100)</f>
        <v>306.75037884235127</v>
      </c>
      <c r="V112" s="8">
        <v>18.3</v>
      </c>
      <c r="W112" s="13">
        <f>10^3*0.06894757*(2*V112*0.625)/(5.563*$C$100)</f>
        <v>283.51171377853677</v>
      </c>
      <c r="X112" s="8">
        <v>14.8</v>
      </c>
      <c r="Y112" s="13">
        <f>10^3*0.06894757*(2*X112*0.625)/(5.563*$C$100)</f>
        <v>229.28816196296964</v>
      </c>
      <c r="Z112" s="8">
        <v>12</v>
      </c>
      <c r="AA112" s="14">
        <f>10^3*0.06894757*(2*Z112*0.625)/(5.563*$C$100)</f>
        <v>185.9093205105159</v>
      </c>
    </row>
    <row r="113" spans="1:27" x14ac:dyDescent="0.25">
      <c r="A113" s="43" t="s">
        <v>5</v>
      </c>
      <c r="B113" s="44" t="s">
        <v>2</v>
      </c>
      <c r="C113" s="3">
        <v>1</v>
      </c>
      <c r="D113" s="3">
        <v>6</v>
      </c>
      <c r="E113" s="3">
        <v>5</v>
      </c>
      <c r="F113" s="3">
        <v>6.625</v>
      </c>
      <c r="G113" s="3">
        <v>0.109</v>
      </c>
      <c r="H113" s="3">
        <v>16</v>
      </c>
      <c r="I113" s="9">
        <f>10^3*0.06894757*(2*H113*0.109)/(6.625*$C$113)</f>
        <v>36.30024515622641</v>
      </c>
      <c r="J113" s="3">
        <v>16</v>
      </c>
      <c r="K113" s="9">
        <f>10^3*0.06894757*(2*J113*0.109)/(6.625*$C$113)</f>
        <v>36.30024515622641</v>
      </c>
      <c r="L113" s="3">
        <v>16</v>
      </c>
      <c r="M113" s="9">
        <f>10^3*0.06894757*(2*L113*0.109)/(6.625*$C$113)</f>
        <v>36.30024515622641</v>
      </c>
      <c r="N113" s="3">
        <v>16</v>
      </c>
      <c r="O113" s="9">
        <f>10^3*0.06894757*(2*N113*0.109)/(6.625*$C$113)</f>
        <v>36.30024515622641</v>
      </c>
      <c r="P113" s="3">
        <v>16</v>
      </c>
      <c r="Q113" s="9">
        <f>10^3*0.06894757*(2*P113*0.109)/(6.625*$C$113)</f>
        <v>36.30024515622641</v>
      </c>
      <c r="R113" s="3">
        <v>15.3</v>
      </c>
      <c r="S113" s="9">
        <f>10^3*0.06894757*(2*R113*0.109)/(6.625*$C$113)</f>
        <v>34.712109430641512</v>
      </c>
      <c r="T113" s="3">
        <v>14.6</v>
      </c>
      <c r="U113" s="9">
        <f>10^3*0.06894757*(2*T113*0.109)/(6.625*$C$113)</f>
        <v>33.123973705056606</v>
      </c>
      <c r="V113" s="3">
        <v>12.5</v>
      </c>
      <c r="W113" s="9">
        <f>10^3*0.06894757*(2*V113*0.109)/(6.625*$C$113)</f>
        <v>28.359566528301887</v>
      </c>
      <c r="X113" s="3">
        <v>10.7</v>
      </c>
      <c r="Y113" s="9">
        <f>10^3*0.06894757*(2*X113*0.109)/(6.625*$C$113)</f>
        <v>24.27578894822641</v>
      </c>
      <c r="Z113" s="3">
        <v>9.1999999999999993</v>
      </c>
      <c r="AA113" s="10">
        <f>10^3*0.06894757*(2*Z113*0.109)/(6.625*$C$113)</f>
        <v>20.872640964830186</v>
      </c>
    </row>
    <row r="114" spans="1:27" x14ac:dyDescent="0.25">
      <c r="A114" s="43"/>
      <c r="B114" s="45"/>
      <c r="C114" s="4">
        <v>1</v>
      </c>
      <c r="D114" s="4">
        <v>6</v>
      </c>
      <c r="E114" s="4">
        <v>10</v>
      </c>
      <c r="F114" s="4">
        <v>6.625</v>
      </c>
      <c r="G114" s="4">
        <v>0.13400000000000001</v>
      </c>
      <c r="H114" s="4">
        <v>16</v>
      </c>
      <c r="I114" s="11">
        <f>10^3*0.06894757*(2*H114*0.134)/(6.625*$C$114)</f>
        <v>44.62598945811321</v>
      </c>
      <c r="J114" s="4">
        <v>16</v>
      </c>
      <c r="K114" s="11">
        <f>10^3*0.06894757*(2*J114*0.134)/(6.625*$C$114)</f>
        <v>44.62598945811321</v>
      </c>
      <c r="L114" s="4">
        <v>16</v>
      </c>
      <c r="M114" s="11">
        <f>10^3*0.06894757*(2*L114*0.134)/(6.625*$C$114)</f>
        <v>44.62598945811321</v>
      </c>
      <c r="N114" s="4">
        <v>16</v>
      </c>
      <c r="O114" s="11">
        <f>10^3*0.06894757*(2*N114*0.134)/(6.625*$C$114)</f>
        <v>44.62598945811321</v>
      </c>
      <c r="P114" s="4">
        <v>16</v>
      </c>
      <c r="Q114" s="11">
        <f>10^3*0.06894757*(2*P114*0.134)/(6.625*$C$114)</f>
        <v>44.62598945811321</v>
      </c>
      <c r="R114" s="4">
        <v>15.3</v>
      </c>
      <c r="S114" s="11">
        <f>10^3*0.06894757*(2*R114*0.134)/(6.625*$C$114)</f>
        <v>42.673602419320758</v>
      </c>
      <c r="T114" s="4">
        <v>14.6</v>
      </c>
      <c r="U114" s="11">
        <f>10^3*0.06894757*(2*T114*0.134)/(6.625*$C$114)</f>
        <v>40.721215380528307</v>
      </c>
      <c r="V114" s="4">
        <v>12.5</v>
      </c>
      <c r="W114" s="11">
        <f>10^3*0.06894757*(2*V114*0.134)/(6.625*$C$114)</f>
        <v>34.864054264150944</v>
      </c>
      <c r="X114" s="4">
        <v>10.7</v>
      </c>
      <c r="Y114" s="11">
        <f>10^3*0.06894757*(2*X114*0.134)/(6.625*$C$114)</f>
        <v>29.843630450113206</v>
      </c>
      <c r="Z114" s="4">
        <v>9.1999999999999993</v>
      </c>
      <c r="AA114" s="12">
        <f>10^3*0.06894757*(2*Z114*0.134)/(6.625*$C$114)</f>
        <v>25.659943938415093</v>
      </c>
    </row>
    <row r="115" spans="1:27" x14ac:dyDescent="0.25">
      <c r="A115" s="43"/>
      <c r="B115" s="45"/>
      <c r="C115" s="4">
        <v>1</v>
      </c>
      <c r="D115" s="4">
        <v>6</v>
      </c>
      <c r="E115" s="4">
        <v>30</v>
      </c>
      <c r="F115" s="4">
        <v>6.625</v>
      </c>
      <c r="G115" s="4"/>
      <c r="H115" s="4">
        <v>16</v>
      </c>
      <c r="I115" s="11"/>
      <c r="J115" s="4">
        <v>16</v>
      </c>
      <c r="K115" s="11"/>
      <c r="L115" s="4">
        <v>16</v>
      </c>
      <c r="M115" s="11"/>
      <c r="N115" s="4">
        <v>16</v>
      </c>
      <c r="O115" s="11"/>
      <c r="P115" s="4">
        <v>16</v>
      </c>
      <c r="Q115" s="11"/>
      <c r="R115" s="4">
        <v>15.3</v>
      </c>
      <c r="S115" s="11"/>
      <c r="T115" s="4">
        <v>14.6</v>
      </c>
      <c r="U115" s="11"/>
      <c r="V115" s="4">
        <v>12.5</v>
      </c>
      <c r="W115" s="11"/>
      <c r="X115" s="4">
        <v>10.7</v>
      </c>
      <c r="Y115" s="11"/>
      <c r="Z115" s="4">
        <v>9.1999999999999993</v>
      </c>
      <c r="AA115" s="12"/>
    </row>
    <row r="116" spans="1:27" x14ac:dyDescent="0.25">
      <c r="A116" s="43"/>
      <c r="B116" s="45"/>
      <c r="C116" s="4">
        <v>1</v>
      </c>
      <c r="D116" s="4">
        <v>6</v>
      </c>
      <c r="E116" s="4">
        <v>40</v>
      </c>
      <c r="F116" s="4">
        <v>6.625</v>
      </c>
      <c r="G116" s="4">
        <v>0.28000000000000003</v>
      </c>
      <c r="H116" s="4">
        <v>16</v>
      </c>
      <c r="I116" s="11">
        <f>10^3*0.06894757*(2*H116*0.28)/(6.625*$C$116)</f>
        <v>93.248336181132075</v>
      </c>
      <c r="J116" s="4">
        <v>16</v>
      </c>
      <c r="K116" s="11">
        <f>10^3*0.06894757*(2*J116*0.28)/(6.625*$C$116)</f>
        <v>93.248336181132075</v>
      </c>
      <c r="L116" s="4">
        <v>16</v>
      </c>
      <c r="M116" s="11">
        <f>10^3*0.06894757*(2*L116*0.28)/(6.625*$C$116)</f>
        <v>93.248336181132075</v>
      </c>
      <c r="N116" s="4">
        <v>16</v>
      </c>
      <c r="O116" s="11">
        <f>10^3*0.06894757*(2*N116*0.28)/(6.625*$C$116)</f>
        <v>93.248336181132075</v>
      </c>
      <c r="P116" s="4">
        <v>16</v>
      </c>
      <c r="Q116" s="11">
        <f>10^3*0.06894757*(2*P116*0.28)/(6.625*$C$116)</f>
        <v>93.248336181132075</v>
      </c>
      <c r="R116" s="4">
        <v>15.3</v>
      </c>
      <c r="S116" s="11">
        <f>10^3*0.06894757*(2*R116*0.28)/(6.625*$C$116)</f>
        <v>89.168721473207555</v>
      </c>
      <c r="T116" s="4">
        <v>14.6</v>
      </c>
      <c r="U116" s="11">
        <f>10^3*0.06894757*(2*T116*0.28)/(6.625*$C$116)</f>
        <v>85.08910676528302</v>
      </c>
      <c r="V116" s="4">
        <v>12.5</v>
      </c>
      <c r="W116" s="11">
        <f>10^3*0.06894757*(2*V116*0.28)/(6.625*$C$116)</f>
        <v>72.850262641509445</v>
      </c>
      <c r="X116" s="4">
        <v>10.7</v>
      </c>
      <c r="Y116" s="11">
        <f>10^3*0.06894757*(2*X116*0.28)/(6.625*$C$116)</f>
        <v>62.359824821132072</v>
      </c>
      <c r="Z116" s="4">
        <v>9.1999999999999993</v>
      </c>
      <c r="AA116" s="12">
        <f>10^3*0.06894757*(2*Z116*0.28)/(6.625*$C$116)</f>
        <v>53.617793304150936</v>
      </c>
    </row>
    <row r="117" spans="1:27" x14ac:dyDescent="0.25">
      <c r="A117" s="43"/>
      <c r="B117" s="45"/>
      <c r="C117" s="4">
        <v>1</v>
      </c>
      <c r="D117" s="4">
        <v>6</v>
      </c>
      <c r="E117" s="4">
        <v>80</v>
      </c>
      <c r="F117" s="4">
        <v>6.625</v>
      </c>
      <c r="G117" s="4">
        <v>0.432</v>
      </c>
      <c r="H117" s="4">
        <v>16</v>
      </c>
      <c r="I117" s="11">
        <f>10^3*0.06894757*(2*H117*0.432)/(6.625*$C$117)</f>
        <v>143.86886153660376</v>
      </c>
      <c r="J117" s="4">
        <v>16</v>
      </c>
      <c r="K117" s="11">
        <f>10^3*0.06894757*(2*J117*0.432)/(6.625*$C$117)</f>
        <v>143.86886153660376</v>
      </c>
      <c r="L117" s="4">
        <v>16</v>
      </c>
      <c r="M117" s="11">
        <f>10^3*0.06894757*(2*L117*0.432)/(6.625*$C$117)</f>
        <v>143.86886153660376</v>
      </c>
      <c r="N117" s="4">
        <v>16</v>
      </c>
      <c r="O117" s="11">
        <f>10^3*0.06894757*(2*N117*0.432)/(6.625*$C$117)</f>
        <v>143.86886153660376</v>
      </c>
      <c r="P117" s="4">
        <v>16</v>
      </c>
      <c r="Q117" s="11">
        <f>10^3*0.06894757*(2*P117*0.432)/(6.625*$C$117)</f>
        <v>143.86886153660376</v>
      </c>
      <c r="R117" s="4">
        <v>15.3</v>
      </c>
      <c r="S117" s="11">
        <f>10^3*0.06894757*(2*R117*0.432)/(6.625*$C$117)</f>
        <v>137.57459884437736</v>
      </c>
      <c r="T117" s="4">
        <v>14.6</v>
      </c>
      <c r="U117" s="11">
        <f>10^3*0.06894757*(2*T117*0.432)/(6.625*$C$117)</f>
        <v>131.28033615215094</v>
      </c>
      <c r="V117" s="4">
        <v>12.5</v>
      </c>
      <c r="W117" s="11">
        <f>10^3*0.06894757*(2*V117*0.432)/(6.625*$C$117)</f>
        <v>112.3975480754717</v>
      </c>
      <c r="X117" s="4">
        <v>10.7</v>
      </c>
      <c r="Y117" s="11">
        <f>10^3*0.06894757*(2*X117*0.432)/(6.625*$C$117)</f>
        <v>96.212301152603771</v>
      </c>
      <c r="Z117" s="4">
        <v>9.1999999999999993</v>
      </c>
      <c r="AA117" s="12">
        <f>10^3*0.06894757*(2*Z117*0.432)/(6.625*$C$117)</f>
        <v>82.724595383547168</v>
      </c>
    </row>
    <row r="118" spans="1:27" ht="16.5" thickBot="1" x14ac:dyDescent="0.3">
      <c r="A118" s="43"/>
      <c r="B118" s="46"/>
      <c r="C118" s="5">
        <v>1</v>
      </c>
      <c r="D118" s="5">
        <v>6</v>
      </c>
      <c r="E118" s="5">
        <v>160</v>
      </c>
      <c r="F118" s="5">
        <v>6.625</v>
      </c>
      <c r="G118" s="5">
        <v>0.71899999999999997</v>
      </c>
      <c r="H118" s="5">
        <v>16</v>
      </c>
      <c r="I118" s="13">
        <f>10^3*0.06894757*(2*H118*0.719)/(6.625*$C$118)</f>
        <v>239.44840612226412</v>
      </c>
      <c r="J118" s="5">
        <v>16</v>
      </c>
      <c r="K118" s="13">
        <f>10^3*0.06894757*(2*J118*0.719)/(6.625*$C$118)</f>
        <v>239.44840612226412</v>
      </c>
      <c r="L118" s="5">
        <v>16</v>
      </c>
      <c r="M118" s="13">
        <f>10^3*0.06894757*(2*L118*0.719)/(6.625*$C$118)</f>
        <v>239.44840612226412</v>
      </c>
      <c r="N118" s="5">
        <v>16</v>
      </c>
      <c r="O118" s="13">
        <f>10^3*0.06894757*(2*N118*0.719)/(6.625*$C$118)</f>
        <v>239.44840612226412</v>
      </c>
      <c r="P118" s="5">
        <v>16</v>
      </c>
      <c r="Q118" s="13">
        <f>10^3*0.06894757*(2*P118*0.719)/(6.625*$C$118)</f>
        <v>239.44840612226412</v>
      </c>
      <c r="R118" s="5">
        <v>15.3</v>
      </c>
      <c r="S118" s="13">
        <f>10^3*0.06894757*(2*R118*0.719)/(6.625*$C$118)</f>
        <v>228.97253835441512</v>
      </c>
      <c r="T118" s="5">
        <v>14.6</v>
      </c>
      <c r="U118" s="13">
        <f>10^3*0.06894757*(2*T118*0.719)/(6.625*$C$118)</f>
        <v>218.49667058656601</v>
      </c>
      <c r="V118" s="5">
        <v>12.5</v>
      </c>
      <c r="W118" s="13">
        <f>10^3*0.06894757*(2*V118*0.719)/(6.625*$C$118)</f>
        <v>187.06906728301885</v>
      </c>
      <c r="X118" s="5">
        <v>10.7</v>
      </c>
      <c r="Y118" s="13">
        <f>10^3*0.06894757*(2*X118*0.719)/(6.625*$C$118)</f>
        <v>160.13112159426413</v>
      </c>
      <c r="Z118" s="5">
        <v>9.1999999999999993</v>
      </c>
      <c r="AA118" s="14">
        <f>10^3*0.06894757*(2*Z118*0.719)/(6.625*$C$118)</f>
        <v>137.68283352030187</v>
      </c>
    </row>
    <row r="119" spans="1:27" x14ac:dyDescent="0.25">
      <c r="A119" s="43"/>
      <c r="B119" s="44" t="s">
        <v>1</v>
      </c>
      <c r="C119" s="3">
        <v>1</v>
      </c>
      <c r="D119" s="3">
        <v>6</v>
      </c>
      <c r="E119" s="3">
        <v>5</v>
      </c>
      <c r="F119" s="19">
        <v>6.625</v>
      </c>
      <c r="G119" s="3">
        <v>0.109</v>
      </c>
      <c r="H119" s="3">
        <v>20</v>
      </c>
      <c r="I119" s="9">
        <f>10^3*0.06894757*(2*H119*0.109)/(6.625*$C$113)</f>
        <v>45.375306445283023</v>
      </c>
      <c r="J119" s="3">
        <v>20</v>
      </c>
      <c r="K119" s="9">
        <f>10^3*0.06894757*(2*J119*0.109)/(6.625*$C$113)</f>
        <v>45.375306445283023</v>
      </c>
      <c r="L119" s="3">
        <v>20</v>
      </c>
      <c r="M119" s="9">
        <f>10^3*0.06894757*(2*L119*0.109)/(6.625*$C$113)</f>
        <v>45.375306445283023</v>
      </c>
      <c r="N119" s="3">
        <v>19.899999999999999</v>
      </c>
      <c r="O119" s="9">
        <f>10^3*0.06894757*(2*N119*0.109)/(6.625*$C$113)</f>
        <v>45.148429913056596</v>
      </c>
      <c r="P119" s="3">
        <v>19</v>
      </c>
      <c r="Q119" s="9">
        <f>10^3*0.06894757*(2*P119*0.109)/(6.625*$C$113)</f>
        <v>43.106541123018872</v>
      </c>
      <c r="R119" s="3">
        <v>17.899999999999999</v>
      </c>
      <c r="S119" s="9">
        <f>10^3*0.06894757*(2*R119*0.109)/(6.625*$C$113)</f>
        <v>40.6108992685283</v>
      </c>
      <c r="T119" s="3">
        <v>17.3</v>
      </c>
      <c r="U119" s="9">
        <f>10^3*0.06894757*(2*T119*0.109)/(6.625*$C$113)</f>
        <v>39.249640075169815</v>
      </c>
      <c r="V119" s="3">
        <v>16.7</v>
      </c>
      <c r="W119" s="9">
        <f>10^3*0.06894757*(2*V119*0.109)/(6.625*$C$113)</f>
        <v>37.888380881811315</v>
      </c>
      <c r="X119" s="3">
        <v>13.9</v>
      </c>
      <c r="Y119" s="9">
        <f>10^3*0.06894757*(2*X119*0.109)/(6.625*$C$113)</f>
        <v>31.535837979471701</v>
      </c>
      <c r="Z119" s="3">
        <v>11.4</v>
      </c>
      <c r="AA119" s="10">
        <f>10^3*0.06894757*(2*Z119*0.109)/(6.625*$C$113)</f>
        <v>25.863924673811319</v>
      </c>
    </row>
    <row r="120" spans="1:27" x14ac:dyDescent="0.25">
      <c r="A120" s="43"/>
      <c r="B120" s="45"/>
      <c r="C120" s="4">
        <v>1</v>
      </c>
      <c r="D120" s="4">
        <v>6</v>
      </c>
      <c r="E120" s="4">
        <v>10</v>
      </c>
      <c r="F120" s="4">
        <v>6.625</v>
      </c>
      <c r="G120" s="4">
        <v>0.13400000000000001</v>
      </c>
      <c r="H120" s="4">
        <v>20</v>
      </c>
      <c r="I120" s="11">
        <f>10^3*0.06894757*(2*H120*0.134)/(6.625*$C$114)</f>
        <v>55.782486822641509</v>
      </c>
      <c r="J120" s="4">
        <v>20</v>
      </c>
      <c r="K120" s="11">
        <f>10^3*0.06894757*(2*J120*0.134)/(6.625*$C$114)</f>
        <v>55.782486822641509</v>
      </c>
      <c r="L120" s="4">
        <v>20</v>
      </c>
      <c r="M120" s="11">
        <f>10^3*0.06894757*(2*L120*0.134)/(6.625*$C$114)</f>
        <v>55.782486822641509</v>
      </c>
      <c r="N120" s="4">
        <v>19.899999999999999</v>
      </c>
      <c r="O120" s="11">
        <f>10^3*0.06894757*(2*N120*0.134)/(6.625*$C$114)</f>
        <v>55.5035743885283</v>
      </c>
      <c r="P120" s="4">
        <v>19</v>
      </c>
      <c r="Q120" s="11">
        <f>10^3*0.06894757*(2*P120*0.134)/(6.625*$C$114)</f>
        <v>52.993362481509436</v>
      </c>
      <c r="R120" s="4">
        <v>17.899999999999999</v>
      </c>
      <c r="S120" s="11">
        <f>10^3*0.06894757*(2*R120*0.134)/(6.625*$C$114)</f>
        <v>49.925325706264147</v>
      </c>
      <c r="T120" s="4">
        <v>17.3</v>
      </c>
      <c r="U120" s="11">
        <f>10^3*0.06894757*(2*T120*0.134)/(6.625*$C$114)</f>
        <v>48.251851101584911</v>
      </c>
      <c r="V120" s="4">
        <v>16.7</v>
      </c>
      <c r="W120" s="11">
        <f>10^3*0.06894757*(2*V120*0.134)/(6.625*$C$114)</f>
        <v>46.578376496905662</v>
      </c>
      <c r="X120" s="4">
        <v>13.9</v>
      </c>
      <c r="Y120" s="11">
        <f>10^3*0.06894757*(2*X120*0.134)/(6.625*$C$114)</f>
        <v>38.768828341735855</v>
      </c>
      <c r="Z120" s="4">
        <v>11.4</v>
      </c>
      <c r="AA120" s="12">
        <f>10^3*0.06894757*(2*Z120*0.134)/(6.625*$C$114)</f>
        <v>31.796017488905658</v>
      </c>
    </row>
    <row r="121" spans="1:27" x14ac:dyDescent="0.25">
      <c r="A121" s="43"/>
      <c r="B121" s="45"/>
      <c r="C121" s="4">
        <v>1</v>
      </c>
      <c r="D121" s="4">
        <v>6</v>
      </c>
      <c r="E121" s="4">
        <v>30</v>
      </c>
      <c r="F121" s="4">
        <v>6.625</v>
      </c>
      <c r="G121" s="4"/>
      <c r="H121" s="4">
        <v>20</v>
      </c>
      <c r="I121" s="11"/>
      <c r="J121" s="4">
        <v>20</v>
      </c>
      <c r="K121" s="11"/>
      <c r="L121" s="4">
        <v>20</v>
      </c>
      <c r="M121" s="11"/>
      <c r="N121" s="4">
        <v>19.899999999999999</v>
      </c>
      <c r="O121" s="11"/>
      <c r="P121" s="4">
        <v>19</v>
      </c>
      <c r="Q121" s="11"/>
      <c r="R121" s="4">
        <v>17.899999999999999</v>
      </c>
      <c r="S121" s="11"/>
      <c r="T121" s="4">
        <v>17.3</v>
      </c>
      <c r="U121" s="11"/>
      <c r="V121" s="4">
        <v>16.7</v>
      </c>
      <c r="W121" s="11"/>
      <c r="X121" s="4">
        <v>13.9</v>
      </c>
      <c r="Y121" s="11"/>
      <c r="Z121" s="4">
        <v>11.4</v>
      </c>
      <c r="AA121" s="12"/>
    </row>
    <row r="122" spans="1:27" x14ac:dyDescent="0.25">
      <c r="A122" s="43"/>
      <c r="B122" s="45"/>
      <c r="C122" s="4">
        <v>1</v>
      </c>
      <c r="D122" s="4">
        <v>6</v>
      </c>
      <c r="E122" s="4">
        <v>40</v>
      </c>
      <c r="F122" s="4">
        <v>6.625</v>
      </c>
      <c r="G122" s="4">
        <v>0.28000000000000003</v>
      </c>
      <c r="H122" s="4">
        <v>20</v>
      </c>
      <c r="I122" s="11">
        <f>10^3*0.06894757*(2*H122*0.28)/(6.625*$C$116)</f>
        <v>116.5604202264151</v>
      </c>
      <c r="J122" s="4">
        <v>20</v>
      </c>
      <c r="K122" s="11">
        <f>10^3*0.06894757*(2*J122*0.28)/(6.625*$C$116)</f>
        <v>116.5604202264151</v>
      </c>
      <c r="L122" s="4">
        <v>20</v>
      </c>
      <c r="M122" s="11">
        <f>10^3*0.06894757*(2*L122*0.28)/(6.625*$C$116)</f>
        <v>116.5604202264151</v>
      </c>
      <c r="N122" s="4">
        <v>19.899999999999999</v>
      </c>
      <c r="O122" s="11">
        <f>10^3*0.06894757*(2*N122*0.28)/(6.625*$C$116)</f>
        <v>115.97761812528302</v>
      </c>
      <c r="P122" s="4">
        <v>19</v>
      </c>
      <c r="Q122" s="11">
        <f>10^3*0.06894757*(2*P122*0.28)/(6.625*$C$116)</f>
        <v>110.73239921509435</v>
      </c>
      <c r="R122" s="4">
        <v>17.899999999999999</v>
      </c>
      <c r="S122" s="11">
        <f>10^3*0.06894757*(2*R122*0.28)/(6.625*$C$116)</f>
        <v>104.32157610264153</v>
      </c>
      <c r="T122" s="4">
        <v>17.3</v>
      </c>
      <c r="U122" s="11">
        <f>10^3*0.06894757*(2*T122*0.28)/(6.625*$C$116)</f>
        <v>100.82476349584906</v>
      </c>
      <c r="V122" s="4">
        <v>16.7</v>
      </c>
      <c r="W122" s="11">
        <f>10^3*0.06894757*(2*V122*0.28)/(6.625*$C$116)</f>
        <v>97.327950889056595</v>
      </c>
      <c r="X122" s="4">
        <v>13.9</v>
      </c>
      <c r="Y122" s="11">
        <f>10^3*0.06894757*(2*X122*0.28)/(6.625*$C$116)</f>
        <v>81.0094920573585</v>
      </c>
      <c r="Z122" s="4">
        <v>11.4</v>
      </c>
      <c r="AA122" s="12">
        <f>10^3*0.06894757*(2*Z122*0.28)/(6.625*$C$116)</f>
        <v>66.439439529056614</v>
      </c>
    </row>
    <row r="123" spans="1:27" x14ac:dyDescent="0.25">
      <c r="A123" s="43"/>
      <c r="B123" s="45"/>
      <c r="C123" s="4">
        <v>1</v>
      </c>
      <c r="D123" s="4">
        <v>6</v>
      </c>
      <c r="E123" s="4">
        <v>80</v>
      </c>
      <c r="F123" s="4">
        <v>6.625</v>
      </c>
      <c r="G123" s="4">
        <v>0.432</v>
      </c>
      <c r="H123" s="4">
        <v>20</v>
      </c>
      <c r="I123" s="11">
        <f>10^3*0.06894757*(2*H123*0.432)/(6.625*$C$117)</f>
        <v>179.83607692075472</v>
      </c>
      <c r="J123" s="4">
        <v>20</v>
      </c>
      <c r="K123" s="11">
        <f>10^3*0.06894757*(2*J123*0.432)/(6.625*$C$117)</f>
        <v>179.83607692075472</v>
      </c>
      <c r="L123" s="4">
        <v>20</v>
      </c>
      <c r="M123" s="11">
        <f>10^3*0.06894757*(2*L123*0.432)/(6.625*$C$117)</f>
        <v>179.83607692075472</v>
      </c>
      <c r="N123" s="4">
        <v>19.899999999999999</v>
      </c>
      <c r="O123" s="11">
        <f>10^3*0.06894757*(2*N123*0.432)/(6.625*$C$117)</f>
        <v>178.93689653615095</v>
      </c>
      <c r="P123" s="4">
        <v>19</v>
      </c>
      <c r="Q123" s="11">
        <f>10^3*0.06894757*(2*P123*0.432)/(6.625*$C$117)</f>
        <v>170.84427307471697</v>
      </c>
      <c r="R123" s="4">
        <v>17.899999999999999</v>
      </c>
      <c r="S123" s="11">
        <f>10^3*0.06894757*(2*R123*0.432)/(6.625*$C$117)</f>
        <v>160.95328884407547</v>
      </c>
      <c r="T123" s="4">
        <v>17.3</v>
      </c>
      <c r="U123" s="11">
        <f>10^3*0.06894757*(2*T123*0.432)/(6.625*$C$117)</f>
        <v>155.55820653645281</v>
      </c>
      <c r="V123" s="4">
        <v>16.7</v>
      </c>
      <c r="W123" s="11">
        <f>10^3*0.06894757*(2*V123*0.432)/(6.625*$C$117)</f>
        <v>150.16312422883018</v>
      </c>
      <c r="X123" s="4">
        <v>13.9</v>
      </c>
      <c r="Y123" s="11">
        <f>10^3*0.06894757*(2*X123*0.432)/(6.625*$C$117)</f>
        <v>124.98607345992454</v>
      </c>
      <c r="Z123" s="4">
        <v>11.4</v>
      </c>
      <c r="AA123" s="12">
        <f>10^3*0.06894757*(2*Z123*0.432)/(6.625*$C$117)</f>
        <v>102.5065638448302</v>
      </c>
    </row>
    <row r="124" spans="1:27" ht="16.5" thickBot="1" x14ac:dyDescent="0.3">
      <c r="A124" s="43"/>
      <c r="B124" s="46"/>
      <c r="C124" s="5">
        <v>1</v>
      </c>
      <c r="D124" s="5">
        <v>6</v>
      </c>
      <c r="E124" s="5">
        <v>160</v>
      </c>
      <c r="F124" s="5">
        <v>6.625</v>
      </c>
      <c r="G124" s="5">
        <v>0.71899999999999997</v>
      </c>
      <c r="H124" s="5">
        <v>20</v>
      </c>
      <c r="I124" s="13">
        <f>10^3*0.06894757*(2*H124*0.719)/(6.625*$C$118)</f>
        <v>299.31050765283015</v>
      </c>
      <c r="J124" s="5">
        <v>20</v>
      </c>
      <c r="K124" s="13">
        <f>10^3*0.06894757*(2*J124*0.719)/(6.625*$C$118)</f>
        <v>299.31050765283015</v>
      </c>
      <c r="L124" s="5">
        <v>20</v>
      </c>
      <c r="M124" s="13">
        <f>10^3*0.06894757*(2*L124*0.719)/(6.625*$C$118)</f>
        <v>299.31050765283015</v>
      </c>
      <c r="N124" s="5">
        <v>19.899999999999999</v>
      </c>
      <c r="O124" s="13">
        <f>10^3*0.06894757*(2*N124*0.719)/(6.625*$C$118)</f>
        <v>297.813955114566</v>
      </c>
      <c r="P124" s="5">
        <v>19</v>
      </c>
      <c r="Q124" s="13">
        <f>10^3*0.06894757*(2*P124*0.719)/(6.625*$C$118)</f>
        <v>284.34498227018867</v>
      </c>
      <c r="R124" s="5">
        <v>17.899999999999999</v>
      </c>
      <c r="S124" s="13">
        <f>10^3*0.06894757*(2*R124*0.719)/(6.625*$C$118)</f>
        <v>267.88290434928297</v>
      </c>
      <c r="T124" s="5">
        <v>17.3</v>
      </c>
      <c r="U124" s="13">
        <f>10^3*0.06894757*(2*T124*0.719)/(6.625*$C$118)</f>
        <v>258.9035891196981</v>
      </c>
      <c r="V124" s="5">
        <v>16.7</v>
      </c>
      <c r="W124" s="13">
        <f>10^3*0.06894757*(2*V124*0.719)/(6.625*$C$118)</f>
        <v>249.9242738901132</v>
      </c>
      <c r="X124" s="5">
        <v>13.9</v>
      </c>
      <c r="Y124" s="13">
        <f>10^3*0.06894757*(2*X124*0.719)/(6.625*$C$118)</f>
        <v>208.02080281871696</v>
      </c>
      <c r="Z124" s="5">
        <v>11.4</v>
      </c>
      <c r="AA124" s="14">
        <f>10^3*0.06894757*(2*Z124*0.719)/(6.625*$C$118)</f>
        <v>170.60698936211321</v>
      </c>
    </row>
    <row r="125" spans="1:27" x14ac:dyDescent="0.25">
      <c r="A125" s="43"/>
      <c r="B125" s="44" t="s">
        <v>6</v>
      </c>
      <c r="C125" s="3">
        <v>1</v>
      </c>
      <c r="D125" s="3">
        <v>6</v>
      </c>
      <c r="E125" s="3">
        <v>5</v>
      </c>
      <c r="F125" s="19">
        <v>6.625</v>
      </c>
      <c r="G125" s="3">
        <v>0.109</v>
      </c>
      <c r="H125" s="6">
        <v>23.3</v>
      </c>
      <c r="I125" s="9">
        <f>10^3*0.06894757*(2*H125*0.109)/(6.625*$C$113)</f>
        <v>52.862232008754717</v>
      </c>
      <c r="J125" s="6">
        <v>23.3</v>
      </c>
      <c r="K125" s="9">
        <f>10^3*0.06894757*(2*J125*0.109)/(6.625*$C$113)</f>
        <v>52.862232008754717</v>
      </c>
      <c r="L125" s="6">
        <v>23.3</v>
      </c>
      <c r="M125" s="9">
        <f>10^3*0.06894757*(2*L125*0.109)/(6.625*$C$113)</f>
        <v>52.862232008754717</v>
      </c>
      <c r="N125" s="6">
        <v>22.8</v>
      </c>
      <c r="O125" s="9">
        <f>10^3*0.06894757*(2*N125*0.109)/(6.625*$C$113)</f>
        <v>51.727849347622637</v>
      </c>
      <c r="P125" s="6">
        <v>21.7</v>
      </c>
      <c r="Q125" s="9">
        <f>10^3*0.06894757*(2*P125*0.109)/(6.625*$C$113)</f>
        <v>49.23220749313208</v>
      </c>
      <c r="R125" s="6">
        <v>20.399999999999999</v>
      </c>
      <c r="S125" s="9">
        <f>10^3*0.06894757*(2*R125*0.109)/(6.625*$C$113)</f>
        <v>46.282812574188675</v>
      </c>
      <c r="T125" s="6">
        <v>19.8</v>
      </c>
      <c r="U125" s="9">
        <f>10^3*0.06894757*(2*T125*0.109)/(6.625*$C$113)</f>
        <v>44.92155338083019</v>
      </c>
      <c r="V125" s="6">
        <v>18.3</v>
      </c>
      <c r="W125" s="9">
        <f>10^3*0.06894757*(2*V125*0.109)/(6.625*$C$113)</f>
        <v>41.518405397433966</v>
      </c>
      <c r="X125" s="6">
        <v>14.8</v>
      </c>
      <c r="Y125" s="9">
        <f>10^3*0.06894757*(2*X125*0.109)/(6.625*$C$113)</f>
        <v>33.577726769509432</v>
      </c>
      <c r="Z125" s="6">
        <v>12</v>
      </c>
      <c r="AA125" s="10">
        <f>10^3*0.06894757*(2*Z125*0.109)/(6.625*$C$113)</f>
        <v>27.225183867169811</v>
      </c>
    </row>
    <row r="126" spans="1:27" x14ac:dyDescent="0.25">
      <c r="A126" s="43"/>
      <c r="B126" s="45"/>
      <c r="C126" s="4">
        <v>1</v>
      </c>
      <c r="D126" s="4">
        <v>6</v>
      </c>
      <c r="E126" s="4">
        <v>10</v>
      </c>
      <c r="F126" s="4">
        <v>6.625</v>
      </c>
      <c r="G126" s="4">
        <v>0.13400000000000001</v>
      </c>
      <c r="H126" s="7">
        <v>23.3</v>
      </c>
      <c r="I126" s="11">
        <f>10^3*0.06894757*(2*H126*0.134)/(6.625*$C$114)</f>
        <v>64.986597148377371</v>
      </c>
      <c r="J126" s="7">
        <v>23.3</v>
      </c>
      <c r="K126" s="11">
        <f>10^3*0.06894757*(2*J126*0.134)/(6.625*$C$114)</f>
        <v>64.986597148377371</v>
      </c>
      <c r="L126" s="7">
        <v>23.3</v>
      </c>
      <c r="M126" s="11">
        <f>10^3*0.06894757*(2*L126*0.134)/(6.625*$C$114)</f>
        <v>64.986597148377371</v>
      </c>
      <c r="N126" s="7">
        <v>22.8</v>
      </c>
      <c r="O126" s="11">
        <f>10^3*0.06894757*(2*N126*0.134)/(6.625*$C$114)</f>
        <v>63.592034977811316</v>
      </c>
      <c r="P126" s="7">
        <v>21.7</v>
      </c>
      <c r="Q126" s="11">
        <f>10^3*0.06894757*(2*P126*0.134)/(6.625*$C$114)</f>
        <v>60.523998202566034</v>
      </c>
      <c r="R126" s="7">
        <v>20.399999999999999</v>
      </c>
      <c r="S126" s="11">
        <f>10^3*0.06894757*(2*R126*0.134)/(6.625*$C$114)</f>
        <v>56.89813655909434</v>
      </c>
      <c r="T126" s="7">
        <v>19.8</v>
      </c>
      <c r="U126" s="11">
        <f>10^3*0.06894757*(2*T126*0.134)/(6.625*$C$114)</f>
        <v>55.224661954415097</v>
      </c>
      <c r="V126" s="7">
        <v>18.3</v>
      </c>
      <c r="W126" s="11">
        <f>10^3*0.06894757*(2*V126*0.134)/(6.625*$C$114)</f>
        <v>51.040975442716984</v>
      </c>
      <c r="X126" s="7">
        <v>14.8</v>
      </c>
      <c r="Y126" s="11">
        <f>10^3*0.06894757*(2*X126*0.134)/(6.625*$C$114)</f>
        <v>41.279040248754718</v>
      </c>
      <c r="Z126" s="7">
        <v>12</v>
      </c>
      <c r="AA126" s="12">
        <f>10^3*0.06894757*(2*Z126*0.134)/(6.625*$C$114)</f>
        <v>33.469492093584911</v>
      </c>
    </row>
    <row r="127" spans="1:27" x14ac:dyDescent="0.25">
      <c r="A127" s="43"/>
      <c r="B127" s="45"/>
      <c r="C127" s="4">
        <v>1</v>
      </c>
      <c r="D127" s="4">
        <v>6</v>
      </c>
      <c r="E127" s="4">
        <v>30</v>
      </c>
      <c r="F127" s="4">
        <v>6.625</v>
      </c>
      <c r="G127" s="4"/>
      <c r="H127" s="7">
        <v>23.3</v>
      </c>
      <c r="I127" s="11"/>
      <c r="J127" s="7">
        <v>23.3</v>
      </c>
      <c r="K127" s="11"/>
      <c r="L127" s="7">
        <v>23.3</v>
      </c>
      <c r="M127" s="11"/>
      <c r="N127" s="7">
        <v>22.8</v>
      </c>
      <c r="O127" s="11"/>
      <c r="P127" s="7">
        <v>21.7</v>
      </c>
      <c r="Q127" s="11"/>
      <c r="R127" s="7">
        <v>20.399999999999999</v>
      </c>
      <c r="S127" s="11"/>
      <c r="T127" s="7">
        <v>19.8</v>
      </c>
      <c r="U127" s="11"/>
      <c r="V127" s="7">
        <v>18.3</v>
      </c>
      <c r="W127" s="11"/>
      <c r="X127" s="7">
        <v>14.8</v>
      </c>
      <c r="Y127" s="11"/>
      <c r="Z127" s="7">
        <v>12</v>
      </c>
      <c r="AA127" s="12"/>
    </row>
    <row r="128" spans="1:27" x14ac:dyDescent="0.25">
      <c r="A128" s="43"/>
      <c r="B128" s="45"/>
      <c r="C128" s="4">
        <v>1</v>
      </c>
      <c r="D128" s="4">
        <v>6</v>
      </c>
      <c r="E128" s="4">
        <v>40</v>
      </c>
      <c r="F128" s="4">
        <v>6.625</v>
      </c>
      <c r="G128" s="4">
        <v>0.28000000000000003</v>
      </c>
      <c r="H128" s="7">
        <v>23.3</v>
      </c>
      <c r="I128" s="11">
        <f>10^3*0.06894757*(2*H128*0.28)/(6.625*$C$116)</f>
        <v>135.7928895637736</v>
      </c>
      <c r="J128" s="7">
        <v>23.3</v>
      </c>
      <c r="K128" s="11">
        <f>10^3*0.06894757*(2*J128*0.28)/(6.625*$C$116)</f>
        <v>135.7928895637736</v>
      </c>
      <c r="L128" s="7">
        <v>23.3</v>
      </c>
      <c r="M128" s="11">
        <f>10^3*0.06894757*(2*L128*0.28)/(6.625*$C$116)</f>
        <v>135.7928895637736</v>
      </c>
      <c r="N128" s="7">
        <v>22.8</v>
      </c>
      <c r="O128" s="11">
        <f>10^3*0.06894757*(2*N128*0.28)/(6.625*$C$116)</f>
        <v>132.87887905811323</v>
      </c>
      <c r="P128" s="7">
        <v>21.7</v>
      </c>
      <c r="Q128" s="11">
        <f>10^3*0.06894757*(2*P128*0.28)/(6.625*$C$116)</f>
        <v>126.46805594566038</v>
      </c>
      <c r="R128" s="7">
        <v>20.399999999999999</v>
      </c>
      <c r="S128" s="11">
        <f>10^3*0.06894757*(2*R128*0.28)/(6.625*$C$116)</f>
        <v>118.89162863094339</v>
      </c>
      <c r="T128" s="7">
        <v>19.8</v>
      </c>
      <c r="U128" s="11">
        <f>10^3*0.06894757*(2*T128*0.28)/(6.625*$C$116)</f>
        <v>115.39481602415096</v>
      </c>
      <c r="V128" s="7">
        <v>18.3</v>
      </c>
      <c r="W128" s="11">
        <f>10^3*0.06894757*(2*V128*0.28)/(6.625*$C$116)</f>
        <v>106.65278450716983</v>
      </c>
      <c r="X128" s="7">
        <v>14.8</v>
      </c>
      <c r="Y128" s="11">
        <f>10^3*0.06894757*(2*X128*0.28)/(6.625*$C$116)</f>
        <v>86.254710967547183</v>
      </c>
      <c r="Z128" s="7">
        <v>12</v>
      </c>
      <c r="AA128" s="12">
        <f>10^3*0.06894757*(2*Z128*0.28)/(6.625*$C$116)</f>
        <v>69.93625213584906</v>
      </c>
    </row>
    <row r="129" spans="1:27" x14ac:dyDescent="0.25">
      <c r="A129" s="43"/>
      <c r="B129" s="45"/>
      <c r="C129" s="4">
        <v>1</v>
      </c>
      <c r="D129" s="4">
        <v>6</v>
      </c>
      <c r="E129" s="4">
        <v>80</v>
      </c>
      <c r="F129" s="4">
        <v>6.625</v>
      </c>
      <c r="G129" s="4">
        <v>0.432</v>
      </c>
      <c r="H129" s="7">
        <v>23.3</v>
      </c>
      <c r="I129" s="11">
        <f>10^3*0.06894757*(2*H129*0.432)/(6.625*$C$117)</f>
        <v>209.50902961267923</v>
      </c>
      <c r="J129" s="7">
        <v>23.3</v>
      </c>
      <c r="K129" s="11">
        <f>10^3*0.06894757*(2*J129*0.432)/(6.625*$C$117)</f>
        <v>209.50902961267923</v>
      </c>
      <c r="L129" s="7">
        <v>23.3</v>
      </c>
      <c r="M129" s="11">
        <f>10^3*0.06894757*(2*L129*0.432)/(6.625*$C$117)</f>
        <v>209.50902961267923</v>
      </c>
      <c r="N129" s="7">
        <v>22.8</v>
      </c>
      <c r="O129" s="11">
        <f>10^3*0.06894757*(2*N129*0.432)/(6.625*$C$117)</f>
        <v>205.01312768966039</v>
      </c>
      <c r="P129" s="7">
        <v>21.7</v>
      </c>
      <c r="Q129" s="11">
        <f>10^3*0.06894757*(2*P129*0.432)/(6.625*$C$117)</f>
        <v>195.12214345901884</v>
      </c>
      <c r="R129" s="7">
        <v>20.399999999999999</v>
      </c>
      <c r="S129" s="11">
        <f>10^3*0.06894757*(2*R129*0.432)/(6.625*$C$117)</f>
        <v>183.43279845916979</v>
      </c>
      <c r="T129" s="7">
        <v>19.8</v>
      </c>
      <c r="U129" s="11">
        <f>10^3*0.06894757*(2*T129*0.432)/(6.625*$C$117)</f>
        <v>178.03771615154716</v>
      </c>
      <c r="V129" s="7">
        <v>18.3</v>
      </c>
      <c r="W129" s="11">
        <f>10^3*0.06894757*(2*V129*0.432)/(6.625*$C$117)</f>
        <v>164.5500103824906</v>
      </c>
      <c r="X129" s="7">
        <v>14.8</v>
      </c>
      <c r="Y129" s="11">
        <f>10^3*0.06894757*(2*X129*0.432)/(6.625*$C$117)</f>
        <v>133.0786969213585</v>
      </c>
      <c r="Z129" s="7">
        <v>12</v>
      </c>
      <c r="AA129" s="12">
        <f>10^3*0.06894757*(2*Z129*0.432)/(6.625*$C$117)</f>
        <v>107.90164615245283</v>
      </c>
    </row>
    <row r="130" spans="1:27" ht="16.5" thickBot="1" x14ac:dyDescent="0.3">
      <c r="A130" s="43"/>
      <c r="B130" s="46"/>
      <c r="C130" s="5">
        <v>1</v>
      </c>
      <c r="D130" s="5">
        <v>6</v>
      </c>
      <c r="E130" s="5">
        <v>160</v>
      </c>
      <c r="F130" s="4">
        <v>6.625</v>
      </c>
      <c r="G130" s="5">
        <v>0.71899999999999997</v>
      </c>
      <c r="H130" s="8">
        <v>23.3</v>
      </c>
      <c r="I130" s="13">
        <f>10^3*0.06894757*(2*H130*0.719)/(6.625*$C$118)</f>
        <v>348.69674141554719</v>
      </c>
      <c r="J130" s="8">
        <v>23.3</v>
      </c>
      <c r="K130" s="13">
        <f>10^3*0.06894757*(2*J130*0.719)/(6.625*$C$118)</f>
        <v>348.69674141554719</v>
      </c>
      <c r="L130" s="8">
        <v>23.3</v>
      </c>
      <c r="M130" s="13">
        <f>10^3*0.06894757*(2*L130*0.719)/(6.625*$C$118)</f>
        <v>348.69674141554719</v>
      </c>
      <c r="N130" s="8">
        <v>22.8</v>
      </c>
      <c r="O130" s="13">
        <f>10^3*0.06894757*(2*N130*0.719)/(6.625*$C$118)</f>
        <v>341.21397872422642</v>
      </c>
      <c r="P130" s="8">
        <v>21.7</v>
      </c>
      <c r="Q130" s="13">
        <f>10^3*0.06894757*(2*P130*0.719)/(6.625*$C$118)</f>
        <v>324.75190080332078</v>
      </c>
      <c r="R130" s="8">
        <v>20.399999999999999</v>
      </c>
      <c r="S130" s="13">
        <f>10^3*0.06894757*(2*R130*0.719)/(6.625*$C$118)</f>
        <v>305.29671780588677</v>
      </c>
      <c r="T130" s="8">
        <v>19.8</v>
      </c>
      <c r="U130" s="13">
        <f>10^3*0.06894757*(2*T130*0.719)/(6.625*$C$118)</f>
        <v>296.3174025763019</v>
      </c>
      <c r="V130" s="8">
        <v>18.3</v>
      </c>
      <c r="W130" s="13">
        <f>10^3*0.06894757*(2*V130*0.719)/(6.625*$C$118)</f>
        <v>273.86911450233964</v>
      </c>
      <c r="X130" s="8">
        <v>14.8</v>
      </c>
      <c r="Y130" s="13">
        <f>10^3*0.06894757*(2*X130*0.719)/(6.625*$C$118)</f>
        <v>221.48977566309435</v>
      </c>
      <c r="Z130" s="8">
        <v>12</v>
      </c>
      <c r="AA130" s="14">
        <f>10^3*0.06894757*(2*Z130*0.719)/(6.625*$C$118)</f>
        <v>179.58630459169811</v>
      </c>
    </row>
    <row r="131" spans="1:27" x14ac:dyDescent="0.25">
      <c r="A131" s="43" t="s">
        <v>5</v>
      </c>
      <c r="B131" s="44" t="s">
        <v>2</v>
      </c>
      <c r="C131" s="3">
        <v>1</v>
      </c>
      <c r="D131" s="3">
        <v>8</v>
      </c>
      <c r="E131" s="3">
        <v>5</v>
      </c>
      <c r="F131" s="3">
        <v>8.625</v>
      </c>
      <c r="G131" s="3">
        <v>0.109</v>
      </c>
      <c r="H131" s="3">
        <v>16</v>
      </c>
      <c r="I131" s="9">
        <f>10^3*0.06894757*(2*H131*0.109)/(8.625*$C$131)</f>
        <v>27.88279700405797</v>
      </c>
      <c r="J131" s="3">
        <v>16</v>
      </c>
      <c r="K131" s="9">
        <f>10^3*0.06894757*(2*J131*0.109)/(8.625*$C$131)</f>
        <v>27.88279700405797</v>
      </c>
      <c r="L131" s="3">
        <v>16</v>
      </c>
      <c r="M131" s="9">
        <f>10^3*0.06894757*(2*L131*0.109)/(8.625*$C$131)</f>
        <v>27.88279700405797</v>
      </c>
      <c r="N131" s="3">
        <v>16</v>
      </c>
      <c r="O131" s="9">
        <f>10^3*0.06894757*(2*N131*0.109)/(8.625*$C$131)</f>
        <v>27.88279700405797</v>
      </c>
      <c r="P131" s="3">
        <v>16</v>
      </c>
      <c r="Q131" s="9">
        <f>10^3*0.06894757*(2*P131*0.109)/(8.625*$C$131)</f>
        <v>27.88279700405797</v>
      </c>
      <c r="R131" s="3">
        <v>15.3</v>
      </c>
      <c r="S131" s="9">
        <f>10^3*0.06894757*(2*R131*0.109)/(8.625*$C$131)</f>
        <v>26.662924635130437</v>
      </c>
      <c r="T131" s="3">
        <v>14.6</v>
      </c>
      <c r="U131" s="9">
        <f>10^3*0.06894757*(2*T131*0.109)/(8.625*$C$131)</f>
        <v>25.443052266202898</v>
      </c>
      <c r="V131" s="3">
        <v>12.5</v>
      </c>
      <c r="W131" s="9">
        <f>10^3*0.06894757*(2*V131*0.109)/(8.625*$C$131)</f>
        <v>21.783435159420289</v>
      </c>
      <c r="X131" s="3">
        <v>10.7</v>
      </c>
      <c r="Y131" s="9">
        <f>10^3*0.06894757*(2*X131*0.109)/(8.625*$C$131)</f>
        <v>18.646620496463765</v>
      </c>
      <c r="Z131" s="3">
        <v>9.1999999999999993</v>
      </c>
      <c r="AA131" s="10">
        <f>10^3*0.06894757*(2*Z131*0.109)/(8.625*$C$131)</f>
        <v>16.032608277333331</v>
      </c>
    </row>
    <row r="132" spans="1:27" x14ac:dyDescent="0.25">
      <c r="A132" s="43"/>
      <c r="B132" s="45"/>
      <c r="C132" s="4">
        <v>1</v>
      </c>
      <c r="D132" s="4">
        <v>8</v>
      </c>
      <c r="E132" s="4">
        <v>10</v>
      </c>
      <c r="F132" s="4">
        <v>8.625</v>
      </c>
      <c r="G132" s="4">
        <v>0.14799999999999999</v>
      </c>
      <c r="H132" s="4">
        <v>16</v>
      </c>
      <c r="I132" s="11">
        <f>10^3*0.06894757*(2*H132*0.148)/(8.625*$C$132)</f>
        <v>37.85921061101449</v>
      </c>
      <c r="J132" s="4">
        <v>16</v>
      </c>
      <c r="K132" s="11">
        <f>10^3*0.06894757*(2*J132*0.148)/(8.625*$C$132)</f>
        <v>37.85921061101449</v>
      </c>
      <c r="L132" s="4">
        <v>16</v>
      </c>
      <c r="M132" s="11">
        <f>10^3*0.06894757*(2*L132*0.148)/(8.625*$C$132)</f>
        <v>37.85921061101449</v>
      </c>
      <c r="N132" s="4">
        <v>16</v>
      </c>
      <c r="O132" s="11">
        <f>10^3*0.06894757*(2*N132*0.148)/(8.625*$C$132)</f>
        <v>37.85921061101449</v>
      </c>
      <c r="P132" s="4">
        <v>16</v>
      </c>
      <c r="Q132" s="11">
        <f>10^3*0.06894757*(2*P132*0.148)/(8.625*$C$132)</f>
        <v>37.85921061101449</v>
      </c>
      <c r="R132" s="4">
        <v>15.3</v>
      </c>
      <c r="S132" s="11">
        <f>10^3*0.06894757*(2*R132*0.148)/(8.625*$C$132)</f>
        <v>36.202870146782608</v>
      </c>
      <c r="T132" s="4">
        <v>14.6</v>
      </c>
      <c r="U132" s="11">
        <f>10^3*0.06894757*(2*T132*0.148)/(8.625*$C$132)</f>
        <v>34.546529682550727</v>
      </c>
      <c r="V132" s="4">
        <v>12.5</v>
      </c>
      <c r="W132" s="11">
        <f>10^3*0.06894757*(2*V132*0.148)/(8.625*$C$132)</f>
        <v>29.577508289855068</v>
      </c>
      <c r="X132" s="4">
        <v>10.7</v>
      </c>
      <c r="Y132" s="11">
        <f>10^3*0.06894757*(2*X132*0.148)/(8.625*$C$132)</f>
        <v>25.318347096115939</v>
      </c>
      <c r="Z132" s="4">
        <v>9.1999999999999993</v>
      </c>
      <c r="AA132" s="12">
        <f>10^3*0.06894757*(2*Z132*0.148)/(8.625*$C$132)</f>
        <v>21.769046101333331</v>
      </c>
    </row>
    <row r="133" spans="1:27" x14ac:dyDescent="0.25">
      <c r="A133" s="43"/>
      <c r="B133" s="45"/>
      <c r="C133" s="4">
        <v>1</v>
      </c>
      <c r="D133" s="4">
        <v>8</v>
      </c>
      <c r="E133" s="4">
        <v>30</v>
      </c>
      <c r="F133" s="4">
        <v>8.625</v>
      </c>
      <c r="G133" s="4">
        <v>0.27700000000000002</v>
      </c>
      <c r="H133" s="4">
        <v>16</v>
      </c>
      <c r="I133" s="11">
        <f>10^3*0.06894757*(2*H133*0.277)/(8.625*$C$133)</f>
        <v>70.858117157101447</v>
      </c>
      <c r="J133" s="4">
        <v>16</v>
      </c>
      <c r="K133" s="11">
        <f>10^3*0.06894757*(2*J133*0.277)/(8.625*$C$133)</f>
        <v>70.858117157101447</v>
      </c>
      <c r="L133" s="4">
        <v>16</v>
      </c>
      <c r="M133" s="11">
        <f>10^3*0.06894757*(2*L133*0.277)/(8.625*$C$133)</f>
        <v>70.858117157101447</v>
      </c>
      <c r="N133" s="4">
        <v>16</v>
      </c>
      <c r="O133" s="11">
        <f>10^3*0.06894757*(2*N133*0.277)/(8.625*$C$133)</f>
        <v>70.858117157101447</v>
      </c>
      <c r="P133" s="4">
        <v>16</v>
      </c>
      <c r="Q133" s="11">
        <f>10^3*0.06894757*(2*P133*0.277)/(8.625*$C$133)</f>
        <v>70.858117157101447</v>
      </c>
      <c r="R133" s="4">
        <v>15.3</v>
      </c>
      <c r="S133" s="11">
        <f>10^3*0.06894757*(2*R133*0.277)/(8.625*$C$133)</f>
        <v>67.758074531478258</v>
      </c>
      <c r="T133" s="4">
        <v>14.6</v>
      </c>
      <c r="U133" s="11">
        <f>10^3*0.06894757*(2*T133*0.277)/(8.625*$C$133)</f>
        <v>64.658031905855069</v>
      </c>
      <c r="V133" s="4">
        <v>12.5</v>
      </c>
      <c r="W133" s="11">
        <f>10^3*0.06894757*(2*V133*0.277)/(8.625*$C$133)</f>
        <v>55.357904028985516</v>
      </c>
      <c r="X133" s="4">
        <v>10.7</v>
      </c>
      <c r="Y133" s="11">
        <f>10^3*0.06894757*(2*X133*0.277)/(8.625*$C$133)</f>
        <v>47.386365848811593</v>
      </c>
      <c r="Z133" s="4">
        <v>9.1999999999999993</v>
      </c>
      <c r="AA133" s="12">
        <f>10^3*0.06894757*(2*Z133*0.277)/(8.625*$C$133)</f>
        <v>40.743417365333336</v>
      </c>
    </row>
    <row r="134" spans="1:27" x14ac:dyDescent="0.25">
      <c r="A134" s="43"/>
      <c r="B134" s="45"/>
      <c r="C134" s="4">
        <v>1</v>
      </c>
      <c r="D134" s="4">
        <v>8</v>
      </c>
      <c r="E134" s="4">
        <v>40</v>
      </c>
      <c r="F134" s="4">
        <v>8.625</v>
      </c>
      <c r="G134" s="4">
        <v>0.32200000000000001</v>
      </c>
      <c r="H134" s="4">
        <v>16</v>
      </c>
      <c r="I134" s="11">
        <f>10^3*0.06894757*(2*H134*0.322)/(8.625*$C$134)</f>
        <v>82.369363626666654</v>
      </c>
      <c r="J134" s="4">
        <v>16</v>
      </c>
      <c r="K134" s="11">
        <f>10^3*0.06894757*(2*J134*0.322)/(8.625*$C$134)</f>
        <v>82.369363626666654</v>
      </c>
      <c r="L134" s="4">
        <v>16</v>
      </c>
      <c r="M134" s="11">
        <f>10^3*0.06894757*(2*L134*0.322)/(8.625*$C$134)</f>
        <v>82.369363626666654</v>
      </c>
      <c r="N134" s="4">
        <v>16</v>
      </c>
      <c r="O134" s="11">
        <f>10^3*0.06894757*(2*N134*0.322)/(8.625*$C$134)</f>
        <v>82.369363626666654</v>
      </c>
      <c r="P134" s="4">
        <v>16</v>
      </c>
      <c r="Q134" s="11">
        <f>10^3*0.06894757*(2*P134*0.322)/(8.625*$C$134)</f>
        <v>82.369363626666654</v>
      </c>
      <c r="R134" s="4">
        <v>15.3</v>
      </c>
      <c r="S134" s="11">
        <f>10^3*0.06894757*(2*R134*0.322)/(8.625*$C$134)</f>
        <v>78.765703968000011</v>
      </c>
      <c r="T134" s="4">
        <v>14.6</v>
      </c>
      <c r="U134" s="11">
        <f>10^3*0.06894757*(2*T134*0.322)/(8.625*$C$134)</f>
        <v>75.162044309333325</v>
      </c>
      <c r="V134" s="4">
        <v>12.5</v>
      </c>
      <c r="W134" s="11">
        <f>10^3*0.06894757*(2*V134*0.322)/(8.625*$C$134)</f>
        <v>64.351065333333338</v>
      </c>
      <c r="X134" s="4">
        <v>10.7</v>
      </c>
      <c r="Y134" s="11">
        <f>10^3*0.06894757*(2*X134*0.322)/(8.625*$C$134)</f>
        <v>55.084511925333331</v>
      </c>
      <c r="Z134" s="4">
        <v>9.1999999999999993</v>
      </c>
      <c r="AA134" s="12">
        <f>10^3*0.06894757*(2*Z134*0.322)/(8.625*$C$134)</f>
        <v>47.362384085333325</v>
      </c>
    </row>
    <row r="135" spans="1:27" x14ac:dyDescent="0.25">
      <c r="A135" s="43"/>
      <c r="B135" s="45"/>
      <c r="C135" s="4">
        <v>1</v>
      </c>
      <c r="D135" s="4">
        <v>8</v>
      </c>
      <c r="E135" s="4">
        <v>80</v>
      </c>
      <c r="F135" s="4">
        <v>8.625</v>
      </c>
      <c r="G135" s="4">
        <v>0.5</v>
      </c>
      <c r="H135" s="4">
        <v>16</v>
      </c>
      <c r="I135" s="11">
        <f>10^3*0.06894757*(2*H135*0.5)/(8.625*$C$135)</f>
        <v>127.90273855072464</v>
      </c>
      <c r="J135" s="4">
        <v>16</v>
      </c>
      <c r="K135" s="11">
        <f>10^3*0.06894757*(2*J135*0.5)/(8.625*$C$135)</f>
        <v>127.90273855072464</v>
      </c>
      <c r="L135" s="4">
        <v>16</v>
      </c>
      <c r="M135" s="11">
        <f>10^3*0.06894757*(2*L135*0.5)/(8.625*$C$135)</f>
        <v>127.90273855072464</v>
      </c>
      <c r="N135" s="4">
        <v>16</v>
      </c>
      <c r="O135" s="11">
        <f>10^3*0.06894757*(2*N135*0.5)/(8.625*$C$135)</f>
        <v>127.90273855072464</v>
      </c>
      <c r="P135" s="4">
        <v>16</v>
      </c>
      <c r="Q135" s="11">
        <f>10^3*0.06894757*(2*P135*0.5)/(8.625*$C$135)</f>
        <v>127.90273855072464</v>
      </c>
      <c r="R135" s="4">
        <v>15.3</v>
      </c>
      <c r="S135" s="11">
        <f>10^3*0.06894757*(2*R135*0.5)/(8.625*$C$135)</f>
        <v>122.30699373913043</v>
      </c>
      <c r="T135" s="4">
        <v>14.6</v>
      </c>
      <c r="U135" s="11">
        <f>10^3*0.06894757*(2*T135*0.5)/(8.625*$C$135)</f>
        <v>116.71124892753623</v>
      </c>
      <c r="V135" s="4">
        <v>12.5</v>
      </c>
      <c r="W135" s="11">
        <f>10^3*0.06894757*(2*V135*0.5)/(8.625*$C$135)</f>
        <v>99.924014492753614</v>
      </c>
      <c r="X135" s="4">
        <v>10.7</v>
      </c>
      <c r="Y135" s="11">
        <f>10^3*0.06894757*(2*X135*0.5)/(8.625*$C$135)</f>
        <v>85.534956405797089</v>
      </c>
      <c r="Z135" s="4">
        <v>9.1999999999999993</v>
      </c>
      <c r="AA135" s="12">
        <f>10^3*0.06894757*(2*Z135*0.5)/(8.625*$C$135)</f>
        <v>73.54407466666666</v>
      </c>
    </row>
    <row r="136" spans="1:27" ht="16.5" thickBot="1" x14ac:dyDescent="0.3">
      <c r="A136" s="43"/>
      <c r="B136" s="46"/>
      <c r="C136" s="5">
        <v>1</v>
      </c>
      <c r="D136" s="5">
        <v>8</v>
      </c>
      <c r="E136" s="5">
        <v>160</v>
      </c>
      <c r="F136" s="5">
        <v>8.625</v>
      </c>
      <c r="G136" s="5">
        <v>0.90600000000000003</v>
      </c>
      <c r="H136" s="5">
        <v>16</v>
      </c>
      <c r="I136" s="13">
        <f>10^3*0.06894757*(2*H136*0.906)/(8.625*$C$136)</f>
        <v>231.75976225391304</v>
      </c>
      <c r="J136" s="5">
        <v>16</v>
      </c>
      <c r="K136" s="13">
        <f>10^3*0.06894757*(2*J136*0.906)/(8.625*$C$136)</f>
        <v>231.75976225391304</v>
      </c>
      <c r="L136" s="5">
        <v>16</v>
      </c>
      <c r="M136" s="13">
        <f>10^3*0.06894757*(2*L136*0.906)/(8.625*$C$136)</f>
        <v>231.75976225391304</v>
      </c>
      <c r="N136" s="5">
        <v>16</v>
      </c>
      <c r="O136" s="13">
        <f>10^3*0.06894757*(2*N136*0.906)/(8.625*$C$136)</f>
        <v>231.75976225391304</v>
      </c>
      <c r="P136" s="5">
        <v>16</v>
      </c>
      <c r="Q136" s="13">
        <f>10^3*0.06894757*(2*P136*0.906)/(8.625*$C$136)</f>
        <v>231.75976225391304</v>
      </c>
      <c r="R136" s="5">
        <v>15.3</v>
      </c>
      <c r="S136" s="13">
        <f>10^3*0.06894757*(2*R136*0.906)/(8.625*$C$136)</f>
        <v>221.62027265530435</v>
      </c>
      <c r="T136" s="5">
        <v>14.6</v>
      </c>
      <c r="U136" s="13">
        <f>10^3*0.06894757*(2*T136*0.906)/(8.625*$C$136)</f>
        <v>211.48078305669569</v>
      </c>
      <c r="V136" s="5">
        <v>12.5</v>
      </c>
      <c r="W136" s="13">
        <f>10^3*0.06894757*(2*V136*0.906)/(8.625*$C$136)</f>
        <v>181.06231426086958</v>
      </c>
      <c r="X136" s="5">
        <v>10.7</v>
      </c>
      <c r="Y136" s="13">
        <f>10^3*0.06894757*(2*X136*0.906)/(8.625*$C$136)</f>
        <v>154.98934100730435</v>
      </c>
      <c r="Z136" s="5">
        <v>9.1999999999999993</v>
      </c>
      <c r="AA136" s="14">
        <f>10^3*0.06894757*(2*Z136*0.906)/(8.625*$C$136)</f>
        <v>133.261863296</v>
      </c>
    </row>
    <row r="137" spans="1:27" x14ac:dyDescent="0.25">
      <c r="A137" s="43"/>
      <c r="B137" s="44" t="s">
        <v>1</v>
      </c>
      <c r="C137" s="3">
        <v>1</v>
      </c>
      <c r="D137" s="3">
        <v>8</v>
      </c>
      <c r="E137" s="3">
        <v>5</v>
      </c>
      <c r="F137" s="19">
        <v>8.625</v>
      </c>
      <c r="G137" s="3">
        <v>0.109</v>
      </c>
      <c r="H137" s="3">
        <v>20</v>
      </c>
      <c r="I137" s="9">
        <f>10^3*0.06894757*(2*H137*0.109)/(8.625*$C$131)</f>
        <v>34.853496255072471</v>
      </c>
      <c r="J137" s="3">
        <v>20</v>
      </c>
      <c r="K137" s="9">
        <f>10^3*0.06894757*(2*J137*0.109)/(8.625*$C$131)</f>
        <v>34.853496255072471</v>
      </c>
      <c r="L137" s="3">
        <v>20</v>
      </c>
      <c r="M137" s="9">
        <f>10^3*0.06894757*(2*L137*0.109)/(8.625*$C$131)</f>
        <v>34.853496255072471</v>
      </c>
      <c r="N137" s="3">
        <v>19.899999999999999</v>
      </c>
      <c r="O137" s="9">
        <f>10^3*0.06894757*(2*N137*0.109)/(8.625*$C$131)</f>
        <v>34.679228773797099</v>
      </c>
      <c r="P137" s="3">
        <v>19</v>
      </c>
      <c r="Q137" s="9">
        <f>10^3*0.06894757*(2*P137*0.109)/(8.625*$C$131)</f>
        <v>33.110821442318844</v>
      </c>
      <c r="R137" s="3">
        <v>17.899999999999999</v>
      </c>
      <c r="S137" s="9">
        <f>10^3*0.06894757*(2*R137*0.109)/(8.625*$C$131)</f>
        <v>31.193879148289852</v>
      </c>
      <c r="T137" s="3">
        <v>17.3</v>
      </c>
      <c r="U137" s="9">
        <f>10^3*0.06894757*(2*T137*0.109)/(8.625*$C$131)</f>
        <v>30.148274260637685</v>
      </c>
      <c r="V137" s="3">
        <v>16.7</v>
      </c>
      <c r="W137" s="9">
        <f>10^3*0.06894757*(2*V137*0.109)/(8.625*$C$131)</f>
        <v>29.102669372985503</v>
      </c>
      <c r="X137" s="3">
        <v>13.9</v>
      </c>
      <c r="Y137" s="9">
        <f>10^3*0.06894757*(2*X137*0.109)/(8.625*$C$131)</f>
        <v>24.223179897275365</v>
      </c>
      <c r="Z137" s="3">
        <v>11.4</v>
      </c>
      <c r="AA137" s="10">
        <f>10^3*0.06894757*(2*Z137*0.109)/(8.625*$C$131)</f>
        <v>19.866492865391301</v>
      </c>
    </row>
    <row r="138" spans="1:27" x14ac:dyDescent="0.25">
      <c r="A138" s="43"/>
      <c r="B138" s="45"/>
      <c r="C138" s="4">
        <v>1</v>
      </c>
      <c r="D138" s="4">
        <v>8</v>
      </c>
      <c r="E138" s="4">
        <v>10</v>
      </c>
      <c r="F138" s="4">
        <v>8.625</v>
      </c>
      <c r="G138" s="4">
        <v>0.14799999999999999</v>
      </c>
      <c r="H138" s="4">
        <v>20</v>
      </c>
      <c r="I138" s="11">
        <f>10^3*0.06894757*(2*H138*0.148)/(8.625*$C$132)</f>
        <v>47.324013263768116</v>
      </c>
      <c r="J138" s="4">
        <v>20</v>
      </c>
      <c r="K138" s="11">
        <f>10^3*0.06894757*(2*J138*0.148)/(8.625*$C$132)</f>
        <v>47.324013263768116</v>
      </c>
      <c r="L138" s="4">
        <v>20</v>
      </c>
      <c r="M138" s="11">
        <f>10^3*0.06894757*(2*L138*0.148)/(8.625*$C$132)</f>
        <v>47.324013263768116</v>
      </c>
      <c r="N138" s="4">
        <v>19.899999999999999</v>
      </c>
      <c r="O138" s="11">
        <f>10^3*0.06894757*(2*N138*0.148)/(8.625*$C$132)</f>
        <v>47.087393197449273</v>
      </c>
      <c r="P138" s="4">
        <v>19</v>
      </c>
      <c r="Q138" s="11">
        <f>10^3*0.06894757*(2*P138*0.148)/(8.625*$C$132)</f>
        <v>44.9578126005797</v>
      </c>
      <c r="R138" s="4">
        <v>17.899999999999999</v>
      </c>
      <c r="S138" s="11">
        <f>10^3*0.06894757*(2*R138*0.148)/(8.625*$C$132)</f>
        <v>42.354991871072457</v>
      </c>
      <c r="T138" s="4">
        <v>17.3</v>
      </c>
      <c r="U138" s="11">
        <f>10^3*0.06894757*(2*T138*0.148)/(8.625*$C$132)</f>
        <v>40.935271473159418</v>
      </c>
      <c r="V138" s="4">
        <v>16.7</v>
      </c>
      <c r="W138" s="11">
        <f>10^3*0.06894757*(2*V138*0.148)/(8.625*$C$132)</f>
        <v>39.515551075246371</v>
      </c>
      <c r="X138" s="4">
        <v>13.9</v>
      </c>
      <c r="Y138" s="11">
        <f>10^3*0.06894757*(2*X138*0.148)/(8.625*$C$132)</f>
        <v>32.890189218318838</v>
      </c>
      <c r="Z138" s="4">
        <v>11.4</v>
      </c>
      <c r="AA138" s="12">
        <f>10^3*0.06894757*(2*Z138*0.148)/(8.625*$C$132)</f>
        <v>26.974687560347828</v>
      </c>
    </row>
    <row r="139" spans="1:27" x14ac:dyDescent="0.25">
      <c r="A139" s="43"/>
      <c r="B139" s="45"/>
      <c r="C139" s="4">
        <v>1</v>
      </c>
      <c r="D139" s="4">
        <v>8</v>
      </c>
      <c r="E139" s="4">
        <v>30</v>
      </c>
      <c r="F139" s="4">
        <v>8.625</v>
      </c>
      <c r="G139" s="4">
        <v>0.27700000000000002</v>
      </c>
      <c r="H139" s="4">
        <v>20</v>
      </c>
      <c r="I139" s="11">
        <f>10^3*0.06894757*(2*H139*0.277)/(8.625*$C$133)</f>
        <v>88.572646446376822</v>
      </c>
      <c r="J139" s="4">
        <v>20</v>
      </c>
      <c r="K139" s="11">
        <f>10^3*0.06894757*(2*J139*0.277)/(8.625*$C$133)</f>
        <v>88.572646446376822</v>
      </c>
      <c r="L139" s="4">
        <v>20</v>
      </c>
      <c r="M139" s="11">
        <f>10^3*0.06894757*(2*L139*0.277)/(8.625*$C$133)</f>
        <v>88.572646446376822</v>
      </c>
      <c r="N139" s="4">
        <v>19.899999999999999</v>
      </c>
      <c r="O139" s="11">
        <f>10^3*0.06894757*(2*N139*0.277)/(8.625*$C$133)</f>
        <v>88.129783214144922</v>
      </c>
      <c r="P139" s="4">
        <v>19</v>
      </c>
      <c r="Q139" s="11">
        <f>10^3*0.06894757*(2*P139*0.277)/(8.625*$C$133)</f>
        <v>84.144014124057975</v>
      </c>
      <c r="R139" s="4">
        <v>17.899999999999999</v>
      </c>
      <c r="S139" s="11">
        <f>10^3*0.06894757*(2*R139*0.277)/(8.625*$C$133)</f>
        <v>79.272518569507241</v>
      </c>
      <c r="T139" s="4">
        <v>17.3</v>
      </c>
      <c r="U139" s="11">
        <f>10^3*0.06894757*(2*T139*0.277)/(8.625*$C$133)</f>
        <v>76.615339176115953</v>
      </c>
      <c r="V139" s="4">
        <v>16.7</v>
      </c>
      <c r="W139" s="11">
        <f>10^3*0.06894757*(2*V139*0.277)/(8.625*$C$133)</f>
        <v>73.95815978272465</v>
      </c>
      <c r="X139" s="4">
        <v>13.9</v>
      </c>
      <c r="Y139" s="11">
        <f>10^3*0.06894757*(2*X139*0.277)/(8.625*$C$133)</f>
        <v>61.557989280231887</v>
      </c>
      <c r="Z139" s="4">
        <v>11.4</v>
      </c>
      <c r="AA139" s="12">
        <f>10^3*0.06894757*(2*Z139*0.277)/(8.625*$C$133)</f>
        <v>50.486408474434789</v>
      </c>
    </row>
    <row r="140" spans="1:27" x14ac:dyDescent="0.25">
      <c r="A140" s="43"/>
      <c r="B140" s="45"/>
      <c r="C140" s="4">
        <v>1</v>
      </c>
      <c r="D140" s="4">
        <v>8</v>
      </c>
      <c r="E140" s="4">
        <v>40</v>
      </c>
      <c r="F140" s="4">
        <v>8.625</v>
      </c>
      <c r="G140" s="4">
        <v>0.32200000000000001</v>
      </c>
      <c r="H140" s="4">
        <v>20</v>
      </c>
      <c r="I140" s="11">
        <f>10^3*0.06894757*(2*H140*0.322)/(8.625*$C$134)</f>
        <v>102.96170453333335</v>
      </c>
      <c r="J140" s="4">
        <v>20</v>
      </c>
      <c r="K140" s="11">
        <f>10^3*0.06894757*(2*J140*0.322)/(8.625*$C$134)</f>
        <v>102.96170453333335</v>
      </c>
      <c r="L140" s="4">
        <v>20</v>
      </c>
      <c r="M140" s="11">
        <f>10^3*0.06894757*(2*L140*0.322)/(8.625*$C$134)</f>
        <v>102.96170453333335</v>
      </c>
      <c r="N140" s="4">
        <v>19.899999999999999</v>
      </c>
      <c r="O140" s="11">
        <f>10^3*0.06894757*(2*N140*0.322)/(8.625*$C$134)</f>
        <v>102.44689601066666</v>
      </c>
      <c r="P140" s="4">
        <v>19</v>
      </c>
      <c r="Q140" s="11">
        <f>10^3*0.06894757*(2*P140*0.322)/(8.625*$C$134)</f>
        <v>97.813619306666681</v>
      </c>
      <c r="R140" s="4">
        <v>17.899999999999999</v>
      </c>
      <c r="S140" s="11">
        <f>10^3*0.06894757*(2*R140*0.322)/(8.625*$C$134)</f>
        <v>92.150725557333331</v>
      </c>
      <c r="T140" s="4">
        <v>17.3</v>
      </c>
      <c r="U140" s="11">
        <f>10^3*0.06894757*(2*T140*0.322)/(8.625*$C$134)</f>
        <v>89.061874421333343</v>
      </c>
      <c r="V140" s="4">
        <v>16.7</v>
      </c>
      <c r="W140" s="11">
        <f>10^3*0.06894757*(2*V140*0.322)/(8.625*$C$134)</f>
        <v>85.973023285333326</v>
      </c>
      <c r="X140" s="4">
        <v>13.9</v>
      </c>
      <c r="Y140" s="11">
        <f>10^3*0.06894757*(2*X140*0.322)/(8.625*$C$134)</f>
        <v>71.558384650666682</v>
      </c>
      <c r="Z140" s="4">
        <v>11.4</v>
      </c>
      <c r="AA140" s="12">
        <f>10^3*0.06894757*(2*Z140*0.322)/(8.625*$C$134)</f>
        <v>58.688171584000003</v>
      </c>
    </row>
    <row r="141" spans="1:27" x14ac:dyDescent="0.25">
      <c r="A141" s="43"/>
      <c r="B141" s="45"/>
      <c r="C141" s="4">
        <v>1</v>
      </c>
      <c r="D141" s="4">
        <v>8</v>
      </c>
      <c r="E141" s="4">
        <v>80</v>
      </c>
      <c r="F141" s="4">
        <v>8.625</v>
      </c>
      <c r="G141" s="4">
        <v>0.5</v>
      </c>
      <c r="H141" s="4">
        <v>20</v>
      </c>
      <c r="I141" s="11">
        <f>10^3*0.06894757*(2*H141*0.5)/(8.625*$C$135)</f>
        <v>159.87842318840578</v>
      </c>
      <c r="J141" s="4">
        <v>20</v>
      </c>
      <c r="K141" s="11">
        <f>10^3*0.06894757*(2*J141*0.5)/(8.625*$C$135)</f>
        <v>159.87842318840578</v>
      </c>
      <c r="L141" s="4">
        <v>20</v>
      </c>
      <c r="M141" s="11">
        <f>10^3*0.06894757*(2*L141*0.5)/(8.625*$C$135)</f>
        <v>159.87842318840578</v>
      </c>
      <c r="N141" s="4">
        <v>19.899999999999999</v>
      </c>
      <c r="O141" s="11">
        <f>10^3*0.06894757*(2*N141*0.5)/(8.625*$C$135)</f>
        <v>159.07903107246375</v>
      </c>
      <c r="P141" s="4">
        <v>19</v>
      </c>
      <c r="Q141" s="11">
        <f>10^3*0.06894757*(2*P141*0.5)/(8.625*$C$135)</f>
        <v>151.88450202898548</v>
      </c>
      <c r="R141" s="4">
        <v>17.899999999999999</v>
      </c>
      <c r="S141" s="11">
        <f>10^3*0.06894757*(2*R141*0.5)/(8.625*$C$135)</f>
        <v>143.09118875362316</v>
      </c>
      <c r="T141" s="4">
        <v>17.3</v>
      </c>
      <c r="U141" s="11">
        <f>10^3*0.06894757*(2*T141*0.5)/(8.625*$C$135)</f>
        <v>138.29483605797103</v>
      </c>
      <c r="V141" s="4">
        <v>16.7</v>
      </c>
      <c r="W141" s="11">
        <f>10^3*0.06894757*(2*V141*0.5)/(8.625*$C$135)</f>
        <v>133.49848336231884</v>
      </c>
      <c r="X141" s="4">
        <v>13.9</v>
      </c>
      <c r="Y141" s="11">
        <f>10^3*0.06894757*(2*X141*0.5)/(8.625*$C$135)</f>
        <v>111.11550411594203</v>
      </c>
      <c r="Z141" s="4">
        <v>11.4</v>
      </c>
      <c r="AA141" s="12">
        <f>10^3*0.06894757*(2*Z141*0.5)/(8.625*$C$135)</f>
        <v>91.130701217391305</v>
      </c>
    </row>
    <row r="142" spans="1:27" ht="16.5" thickBot="1" x14ac:dyDescent="0.3">
      <c r="A142" s="43"/>
      <c r="B142" s="46"/>
      <c r="C142" s="5">
        <v>1</v>
      </c>
      <c r="D142" s="5">
        <v>8</v>
      </c>
      <c r="E142" s="5">
        <v>160</v>
      </c>
      <c r="F142" s="5">
        <v>8.625</v>
      </c>
      <c r="G142" s="5">
        <v>0.90600000000000003</v>
      </c>
      <c r="H142" s="5">
        <v>20</v>
      </c>
      <c r="I142" s="13">
        <f>10^3*0.06894757*(2*H142*0.906)/(8.625*$C$136)</f>
        <v>289.69970281739131</v>
      </c>
      <c r="J142" s="5">
        <v>20</v>
      </c>
      <c r="K142" s="13">
        <f>10^3*0.06894757*(2*J142*0.906)/(8.625*$C$136)</f>
        <v>289.69970281739131</v>
      </c>
      <c r="L142" s="5">
        <v>20</v>
      </c>
      <c r="M142" s="13">
        <f>10^3*0.06894757*(2*L142*0.906)/(8.625*$C$136)</f>
        <v>289.69970281739131</v>
      </c>
      <c r="N142" s="5">
        <v>19.899999999999999</v>
      </c>
      <c r="O142" s="13">
        <f>10^3*0.06894757*(2*N142*0.906)/(8.625*$C$136)</f>
        <v>288.25120430330435</v>
      </c>
      <c r="P142" s="5">
        <v>19</v>
      </c>
      <c r="Q142" s="13">
        <f>10^3*0.06894757*(2*P142*0.906)/(8.625*$C$136)</f>
        <v>275.21471767652179</v>
      </c>
      <c r="R142" s="5">
        <v>17.899999999999999</v>
      </c>
      <c r="S142" s="13">
        <f>10^3*0.06894757*(2*R142*0.906)/(8.625*$C$136)</f>
        <v>259.28123402156518</v>
      </c>
      <c r="T142" s="5">
        <v>17.3</v>
      </c>
      <c r="U142" s="13">
        <f>10^3*0.06894757*(2*T142*0.906)/(8.625*$C$136)</f>
        <v>250.59024293704351</v>
      </c>
      <c r="V142" s="5">
        <v>16.7</v>
      </c>
      <c r="W142" s="13">
        <f>10^3*0.06894757*(2*V142*0.906)/(8.625*$C$136)</f>
        <v>241.89925185252176</v>
      </c>
      <c r="X142" s="5">
        <v>13.9</v>
      </c>
      <c r="Y142" s="13">
        <f>10^3*0.06894757*(2*X142*0.906)/(8.625*$C$136)</f>
        <v>201.34129345808697</v>
      </c>
      <c r="Z142" s="5">
        <v>11.4</v>
      </c>
      <c r="AA142" s="14">
        <f>10^3*0.06894757*(2*Z142*0.906)/(8.625*$C$136)</f>
        <v>165.12883060591304</v>
      </c>
    </row>
    <row r="143" spans="1:27" x14ac:dyDescent="0.25">
      <c r="A143" s="43"/>
      <c r="B143" s="44" t="s">
        <v>6</v>
      </c>
      <c r="C143" s="3">
        <v>1</v>
      </c>
      <c r="D143" s="3">
        <v>8</v>
      </c>
      <c r="E143" s="3">
        <v>5</v>
      </c>
      <c r="F143" s="19">
        <v>8.625</v>
      </c>
      <c r="G143" s="3">
        <v>0.109</v>
      </c>
      <c r="H143" s="6">
        <v>23.3</v>
      </c>
      <c r="I143" s="9">
        <f>10^3*0.06894757*(2*H143*0.109)/(8.625*$C$131)</f>
        <v>40.604323137159419</v>
      </c>
      <c r="J143" s="6">
        <v>23.3</v>
      </c>
      <c r="K143" s="9">
        <f>10^3*0.06894757*(2*J143*0.109)/(8.625*$C$131)</f>
        <v>40.604323137159419</v>
      </c>
      <c r="L143" s="6">
        <v>23.3</v>
      </c>
      <c r="M143" s="9">
        <f>10^3*0.06894757*(2*L143*0.109)/(8.625*$C$131)</f>
        <v>40.604323137159419</v>
      </c>
      <c r="N143" s="6">
        <v>22.8</v>
      </c>
      <c r="O143" s="9">
        <f>10^3*0.06894757*(2*N143*0.109)/(8.625*$C$131)</f>
        <v>39.732985730782602</v>
      </c>
      <c r="P143" s="6">
        <v>21.7</v>
      </c>
      <c r="Q143" s="9">
        <f>10^3*0.06894757*(2*P143*0.109)/(8.625*$C$131)</f>
        <v>37.816043436753624</v>
      </c>
      <c r="R143" s="6">
        <v>20.399999999999999</v>
      </c>
      <c r="S143" s="9">
        <f>10^3*0.06894757*(2*R143*0.109)/(8.625*$C$131)</f>
        <v>35.550566180173909</v>
      </c>
      <c r="T143" s="6">
        <v>19.8</v>
      </c>
      <c r="U143" s="9">
        <f>10^3*0.06894757*(2*T143*0.109)/(8.625*$C$131)</f>
        <v>34.504961292521742</v>
      </c>
      <c r="V143" s="6">
        <v>18.3</v>
      </c>
      <c r="W143" s="9">
        <f>10^3*0.06894757*(2*V143*0.109)/(8.625*$C$131)</f>
        <v>31.890949073391305</v>
      </c>
      <c r="X143" s="6">
        <v>14.8</v>
      </c>
      <c r="Y143" s="9">
        <f>10^3*0.06894757*(2*X143*0.109)/(8.625*$C$131)</f>
        <v>25.79158722875362</v>
      </c>
      <c r="Z143" s="6">
        <v>12</v>
      </c>
      <c r="AA143" s="10">
        <f>10^3*0.06894757*(2*Z143*0.109)/(8.625*$C$131)</f>
        <v>20.912097753043479</v>
      </c>
    </row>
    <row r="144" spans="1:27" x14ac:dyDescent="0.25">
      <c r="A144" s="43"/>
      <c r="B144" s="45"/>
      <c r="C144" s="4">
        <v>1</v>
      </c>
      <c r="D144" s="4">
        <v>8</v>
      </c>
      <c r="E144" s="4">
        <v>10</v>
      </c>
      <c r="F144" s="4">
        <v>8.625</v>
      </c>
      <c r="G144" s="4">
        <v>0.14799999999999999</v>
      </c>
      <c r="H144" s="7">
        <v>23.3</v>
      </c>
      <c r="I144" s="11">
        <f>10^3*0.06894757*(2*H144*0.148)/(8.625*$C$132)</f>
        <v>55.132475452289853</v>
      </c>
      <c r="J144" s="7">
        <v>23.3</v>
      </c>
      <c r="K144" s="11">
        <f>10^3*0.06894757*(2*J144*0.148)/(8.625*$C$132)</f>
        <v>55.132475452289853</v>
      </c>
      <c r="L144" s="7">
        <v>23.3</v>
      </c>
      <c r="M144" s="11">
        <f>10^3*0.06894757*(2*L144*0.148)/(8.625*$C$132)</f>
        <v>55.132475452289853</v>
      </c>
      <c r="N144" s="7">
        <v>22.8</v>
      </c>
      <c r="O144" s="11">
        <f>10^3*0.06894757*(2*N144*0.148)/(8.625*$C$132)</f>
        <v>53.949375120695656</v>
      </c>
      <c r="P144" s="7">
        <v>21.7</v>
      </c>
      <c r="Q144" s="11">
        <f>10^3*0.06894757*(2*P144*0.148)/(8.625*$C$132)</f>
        <v>51.346554391188398</v>
      </c>
      <c r="R144" s="7">
        <v>20.399999999999999</v>
      </c>
      <c r="S144" s="11">
        <f>10^3*0.06894757*(2*R144*0.148)/(8.625*$C$132)</f>
        <v>48.27049352904347</v>
      </c>
      <c r="T144" s="7">
        <v>19.8</v>
      </c>
      <c r="U144" s="11">
        <f>10^3*0.06894757*(2*T144*0.148)/(8.625*$C$132)</f>
        <v>46.850773131130438</v>
      </c>
      <c r="V144" s="7">
        <v>18.3</v>
      </c>
      <c r="W144" s="11">
        <f>10^3*0.06894757*(2*V144*0.148)/(8.625*$C$132)</f>
        <v>43.301472136347826</v>
      </c>
      <c r="X144" s="7">
        <v>14.8</v>
      </c>
      <c r="Y144" s="11">
        <f>10^3*0.06894757*(2*X144*0.148)/(8.625*$C$132)</f>
        <v>35.019769815188404</v>
      </c>
      <c r="Z144" s="7">
        <v>12</v>
      </c>
      <c r="AA144" s="12">
        <f>10^3*0.06894757*(2*Z144*0.148)/(8.625*$C$132)</f>
        <v>28.394407958260867</v>
      </c>
    </row>
    <row r="145" spans="1:27" x14ac:dyDescent="0.25">
      <c r="A145" s="43"/>
      <c r="B145" s="45"/>
      <c r="C145" s="4">
        <v>1</v>
      </c>
      <c r="D145" s="4">
        <v>8</v>
      </c>
      <c r="E145" s="4">
        <v>30</v>
      </c>
      <c r="F145" s="4">
        <v>8.625</v>
      </c>
      <c r="G145" s="4">
        <v>0.27700000000000002</v>
      </c>
      <c r="H145" s="7">
        <v>23.3</v>
      </c>
      <c r="I145" s="11">
        <f>10^3*0.06894757*(2*H145*0.277)/(8.625*$C$133)</f>
        <v>103.18713311002898</v>
      </c>
      <c r="J145" s="7">
        <v>23.3</v>
      </c>
      <c r="K145" s="11">
        <f>10^3*0.06894757*(2*J145*0.277)/(8.625*$C$133)</f>
        <v>103.18713311002898</v>
      </c>
      <c r="L145" s="7">
        <v>23.3</v>
      </c>
      <c r="M145" s="11">
        <f>10^3*0.06894757*(2*L145*0.277)/(8.625*$C$133)</f>
        <v>103.18713311002898</v>
      </c>
      <c r="N145" s="7">
        <v>22.8</v>
      </c>
      <c r="O145" s="11">
        <f>10^3*0.06894757*(2*N145*0.277)/(8.625*$C$133)</f>
        <v>100.97281694886958</v>
      </c>
      <c r="P145" s="7">
        <v>21.7</v>
      </c>
      <c r="Q145" s="11">
        <f>10^3*0.06894757*(2*P145*0.277)/(8.625*$C$133)</f>
        <v>96.101321394318845</v>
      </c>
      <c r="R145" s="7">
        <v>20.399999999999999</v>
      </c>
      <c r="S145" s="11">
        <f>10^3*0.06894757*(2*R145*0.277)/(8.625*$C$133)</f>
        <v>90.344099375304353</v>
      </c>
      <c r="T145" s="7">
        <v>19.8</v>
      </c>
      <c r="U145" s="11">
        <f>10^3*0.06894757*(2*T145*0.277)/(8.625*$C$133)</f>
        <v>87.68691998191305</v>
      </c>
      <c r="V145" s="7">
        <v>18.3</v>
      </c>
      <c r="W145" s="11">
        <f>10^3*0.06894757*(2*V145*0.277)/(8.625*$C$133)</f>
        <v>81.043971498434786</v>
      </c>
      <c r="X145" s="7">
        <v>14.8</v>
      </c>
      <c r="Y145" s="11">
        <f>10^3*0.06894757*(2*X145*0.277)/(8.625*$C$133)</f>
        <v>65.543758370318841</v>
      </c>
      <c r="Z145" s="7">
        <v>12</v>
      </c>
      <c r="AA145" s="12">
        <f>10^3*0.06894757*(2*Z145*0.277)/(8.625*$C$133)</f>
        <v>53.143587867826092</v>
      </c>
    </row>
    <row r="146" spans="1:27" x14ac:dyDescent="0.25">
      <c r="A146" s="43"/>
      <c r="B146" s="45"/>
      <c r="C146" s="4">
        <v>1</v>
      </c>
      <c r="D146" s="4">
        <v>8</v>
      </c>
      <c r="E146" s="4">
        <v>40</v>
      </c>
      <c r="F146" s="4">
        <v>8.625</v>
      </c>
      <c r="G146" s="4">
        <v>0.32200000000000001</v>
      </c>
      <c r="H146" s="7">
        <v>23.3</v>
      </c>
      <c r="I146" s="11">
        <f>10^3*0.06894757*(2*H146*0.322)/(8.625*$C$134)</f>
        <v>119.95038578133334</v>
      </c>
      <c r="J146" s="7">
        <v>23.3</v>
      </c>
      <c r="K146" s="11">
        <f>10^3*0.06894757*(2*J146*0.322)/(8.625*$C$134)</f>
        <v>119.95038578133334</v>
      </c>
      <c r="L146" s="7">
        <v>23.3</v>
      </c>
      <c r="M146" s="11">
        <f>10^3*0.06894757*(2*L146*0.322)/(8.625*$C$134)</f>
        <v>119.95038578133334</v>
      </c>
      <c r="N146" s="7">
        <v>22.8</v>
      </c>
      <c r="O146" s="11">
        <f>10^3*0.06894757*(2*N146*0.322)/(8.625*$C$134)</f>
        <v>117.37634316800001</v>
      </c>
      <c r="P146" s="7">
        <v>21.7</v>
      </c>
      <c r="Q146" s="11">
        <f>10^3*0.06894757*(2*P146*0.322)/(8.625*$C$134)</f>
        <v>111.71344941866667</v>
      </c>
      <c r="R146" s="7">
        <v>20.399999999999999</v>
      </c>
      <c r="S146" s="11">
        <f>10^3*0.06894757*(2*R146*0.322)/(8.625*$C$134)</f>
        <v>105.020938624</v>
      </c>
      <c r="T146" s="7">
        <v>19.8</v>
      </c>
      <c r="U146" s="11">
        <f>10^3*0.06894757*(2*T146*0.322)/(8.625*$C$134)</f>
        <v>101.93208748799999</v>
      </c>
      <c r="V146" s="7">
        <v>18.3</v>
      </c>
      <c r="W146" s="11">
        <f>10^3*0.06894757*(2*V146*0.322)/(8.625*$C$134)</f>
        <v>94.209959648000009</v>
      </c>
      <c r="X146" s="7">
        <v>14.8</v>
      </c>
      <c r="Y146" s="11">
        <f>10^3*0.06894757*(2*X146*0.322)/(8.625*$C$134)</f>
        <v>76.191661354666664</v>
      </c>
      <c r="Z146" s="7">
        <v>12</v>
      </c>
      <c r="AA146" s="12">
        <f>10^3*0.06894757*(2*Z146*0.322)/(8.625*$C$134)</f>
        <v>61.777022719999998</v>
      </c>
    </row>
    <row r="147" spans="1:27" x14ac:dyDescent="0.25">
      <c r="A147" s="43"/>
      <c r="B147" s="45"/>
      <c r="C147" s="4">
        <v>1</v>
      </c>
      <c r="D147" s="4">
        <v>8</v>
      </c>
      <c r="E147" s="4">
        <v>80</v>
      </c>
      <c r="F147" s="4">
        <v>8.625</v>
      </c>
      <c r="G147" s="4">
        <v>0.5</v>
      </c>
      <c r="H147" s="7">
        <v>23.3</v>
      </c>
      <c r="I147" s="11">
        <f>10^3*0.06894757*(2*H147*0.5)/(8.625*$C$135)</f>
        <v>186.25836301449277</v>
      </c>
      <c r="J147" s="7">
        <v>23.3</v>
      </c>
      <c r="K147" s="11">
        <f>10^3*0.06894757*(2*J147*0.5)/(8.625*$C$135)</f>
        <v>186.25836301449277</v>
      </c>
      <c r="L147" s="7">
        <v>23.3</v>
      </c>
      <c r="M147" s="11">
        <f>10^3*0.06894757*(2*L147*0.5)/(8.625*$C$135)</f>
        <v>186.25836301449277</v>
      </c>
      <c r="N147" s="7">
        <v>22.8</v>
      </c>
      <c r="O147" s="11">
        <f>10^3*0.06894757*(2*N147*0.5)/(8.625*$C$135)</f>
        <v>182.26140243478261</v>
      </c>
      <c r="P147" s="7">
        <v>21.7</v>
      </c>
      <c r="Q147" s="11">
        <f>10^3*0.06894757*(2*P147*0.5)/(8.625*$C$135)</f>
        <v>173.46808915942029</v>
      </c>
      <c r="R147" s="7">
        <v>20.399999999999999</v>
      </c>
      <c r="S147" s="11">
        <f>10^3*0.06894757*(2*R147*0.5)/(8.625*$C$135)</f>
        <v>163.07599165217388</v>
      </c>
      <c r="T147" s="7">
        <v>19.8</v>
      </c>
      <c r="U147" s="11">
        <f>10^3*0.06894757*(2*T147*0.5)/(8.625*$C$135)</f>
        <v>158.27963895652175</v>
      </c>
      <c r="V147" s="7">
        <v>18.3</v>
      </c>
      <c r="W147" s="11">
        <f>10^3*0.06894757*(2*V147*0.5)/(8.625*$C$135)</f>
        <v>146.28875721739129</v>
      </c>
      <c r="X147" s="7">
        <v>14.8</v>
      </c>
      <c r="Y147" s="11">
        <f>10^3*0.06894757*(2*X147*0.5)/(8.625*$C$135)</f>
        <v>118.31003315942029</v>
      </c>
      <c r="Z147" s="7">
        <v>12</v>
      </c>
      <c r="AA147" s="12">
        <f>10^3*0.06894757*(2*Z147*0.5)/(8.625*$C$135)</f>
        <v>95.92705391304348</v>
      </c>
    </row>
    <row r="148" spans="1:27" ht="16.5" thickBot="1" x14ac:dyDescent="0.3">
      <c r="A148" s="43"/>
      <c r="B148" s="46"/>
      <c r="C148" s="5">
        <v>1</v>
      </c>
      <c r="D148" s="5">
        <v>8</v>
      </c>
      <c r="E148" s="5">
        <v>160</v>
      </c>
      <c r="F148" s="5">
        <v>8.625</v>
      </c>
      <c r="G148" s="5">
        <v>0.90600000000000003</v>
      </c>
      <c r="H148" s="8">
        <v>23.3</v>
      </c>
      <c r="I148" s="13">
        <f>10^3*0.06894757*(2*H148*0.906)/(8.625*$C$136)</f>
        <v>337.50015378226084</v>
      </c>
      <c r="J148" s="8">
        <v>23.3</v>
      </c>
      <c r="K148" s="13">
        <f>10^3*0.06894757*(2*J148*0.906)/(8.625*$C$136)</f>
        <v>337.50015378226084</v>
      </c>
      <c r="L148" s="8">
        <v>23.3</v>
      </c>
      <c r="M148" s="13">
        <f>10^3*0.06894757*(2*L148*0.906)/(8.625*$C$136)</f>
        <v>337.50015378226084</v>
      </c>
      <c r="N148" s="8">
        <v>22.8</v>
      </c>
      <c r="O148" s="13">
        <f>10^3*0.06894757*(2*N148*0.906)/(8.625*$C$136)</f>
        <v>330.25766121182608</v>
      </c>
      <c r="P148" s="8">
        <v>21.7</v>
      </c>
      <c r="Q148" s="13">
        <f>10^3*0.06894757*(2*P148*0.906)/(8.625*$C$136)</f>
        <v>314.32417755686953</v>
      </c>
      <c r="R148" s="8">
        <v>20.399999999999999</v>
      </c>
      <c r="S148" s="13">
        <f>10^3*0.06894757*(2*R148*0.906)/(8.625*$C$136)</f>
        <v>295.49369687373911</v>
      </c>
      <c r="T148" s="8">
        <v>19.8</v>
      </c>
      <c r="U148" s="13">
        <f>10^3*0.06894757*(2*T148*0.906)/(8.625*$C$136)</f>
        <v>286.80270578921738</v>
      </c>
      <c r="V148" s="8">
        <v>18.3</v>
      </c>
      <c r="W148" s="13">
        <f>10^3*0.06894757*(2*V148*0.906)/(8.625*$C$136)</f>
        <v>265.07522807791304</v>
      </c>
      <c r="X148" s="8">
        <v>14.8</v>
      </c>
      <c r="Y148" s="13">
        <f>10^3*0.06894757*(2*X148*0.906)/(8.625*$C$136)</f>
        <v>214.37778008486958</v>
      </c>
      <c r="Z148" s="8">
        <v>12</v>
      </c>
      <c r="AA148" s="14">
        <f>10^3*0.06894757*(2*Z148*0.906)/(8.625*$C$136)</f>
        <v>173.81982169043479</v>
      </c>
    </row>
    <row r="149" spans="1:27" x14ac:dyDescent="0.25">
      <c r="A149" s="43" t="s">
        <v>5</v>
      </c>
      <c r="B149" s="44" t="s">
        <v>2</v>
      </c>
      <c r="C149" s="3">
        <v>1</v>
      </c>
      <c r="D149" s="3">
        <v>10</v>
      </c>
      <c r="E149" s="3">
        <v>5</v>
      </c>
      <c r="F149" s="3">
        <v>10.75</v>
      </c>
      <c r="G149" s="3">
        <v>0.13400000000000001</v>
      </c>
      <c r="H149" s="3">
        <v>16</v>
      </c>
      <c r="I149" s="9">
        <f>10^3*0.06894757*(2*H149*0.134)/(10.75*$C$149)</f>
        <v>27.502063270697676</v>
      </c>
      <c r="J149" s="3">
        <v>16</v>
      </c>
      <c r="K149" s="9">
        <f>10^3*0.06894757*(2*J149*0.134)/(10.75*$C$149)</f>
        <v>27.502063270697676</v>
      </c>
      <c r="L149" s="3">
        <v>16</v>
      </c>
      <c r="M149" s="9">
        <f>10^3*0.06894757*(2*L149*0.134)/(10.75*$C$149)</f>
        <v>27.502063270697676</v>
      </c>
      <c r="N149" s="3">
        <v>16</v>
      </c>
      <c r="O149" s="9">
        <f>10^3*0.06894757*(2*N149*0.134)/(10.75*$C$149)</f>
        <v>27.502063270697676</v>
      </c>
      <c r="P149" s="3">
        <v>16</v>
      </c>
      <c r="Q149" s="9">
        <f>10^3*0.06894757*(2*P149*0.134)/(10.75*$C$149)</f>
        <v>27.502063270697676</v>
      </c>
      <c r="R149" s="3">
        <v>15.3</v>
      </c>
      <c r="S149" s="9">
        <f>10^3*0.06894757*(2*R149*0.134)/(10.75*$C$149)</f>
        <v>26.298848002604654</v>
      </c>
      <c r="T149" s="3">
        <v>14.6</v>
      </c>
      <c r="U149" s="9">
        <f>10^3*0.06894757*(2*T149*0.134)/(10.75*$C$149)</f>
        <v>25.095632734511629</v>
      </c>
      <c r="V149" s="3">
        <v>12.5</v>
      </c>
      <c r="W149" s="9">
        <f>10^3*0.06894757*(2*V149*0.134)/(10.75*$C$149)</f>
        <v>21.485986930232556</v>
      </c>
      <c r="X149" s="3">
        <v>10.7</v>
      </c>
      <c r="Y149" s="9">
        <f>10^3*0.06894757*(2*X149*0.134)/(10.75*$C$149)</f>
        <v>18.392004812279069</v>
      </c>
      <c r="Z149" s="3">
        <v>9.1999999999999993</v>
      </c>
      <c r="AA149" s="10">
        <f>10^3*0.06894757*(2*Z149*0.134)/(10.75*$C$149)</f>
        <v>15.813686380651163</v>
      </c>
    </row>
    <row r="150" spans="1:27" x14ac:dyDescent="0.25">
      <c r="A150" s="43"/>
      <c r="B150" s="45"/>
      <c r="C150" s="4">
        <v>1</v>
      </c>
      <c r="D150" s="4">
        <v>10</v>
      </c>
      <c r="E150" s="4">
        <v>10</v>
      </c>
      <c r="F150" s="4">
        <v>10.75</v>
      </c>
      <c r="G150" s="4">
        <v>0.16500000000000001</v>
      </c>
      <c r="H150" s="4">
        <v>16</v>
      </c>
      <c r="I150" s="11">
        <f>10^3*0.06894757*(2*H150*0.165)/(10.75*$C$150)</f>
        <v>33.864480893023256</v>
      </c>
      <c r="J150" s="4">
        <v>16</v>
      </c>
      <c r="K150" s="11">
        <f>10^3*0.06894757*(2*J150*0.165)/(10.75*$C$150)</f>
        <v>33.864480893023256</v>
      </c>
      <c r="L150" s="4">
        <v>16</v>
      </c>
      <c r="M150" s="11">
        <f>10^3*0.06894757*(2*L150*0.165)/(10.75*$C$150)</f>
        <v>33.864480893023256</v>
      </c>
      <c r="N150" s="4">
        <v>16</v>
      </c>
      <c r="O150" s="11">
        <f>10^3*0.06894757*(2*N150*0.165)/(10.75*$C$150)</f>
        <v>33.864480893023256</v>
      </c>
      <c r="P150" s="4">
        <v>16</v>
      </c>
      <c r="Q150" s="11">
        <f>10^3*0.06894757*(2*P150*0.165)/(10.75*$C$150)</f>
        <v>33.864480893023256</v>
      </c>
      <c r="R150" s="4">
        <v>15.3</v>
      </c>
      <c r="S150" s="11">
        <f>10^3*0.06894757*(2*R150*0.165)/(10.75*$C$150)</f>
        <v>32.382909853953493</v>
      </c>
      <c r="T150" s="4">
        <v>14.6</v>
      </c>
      <c r="U150" s="11">
        <f>10^3*0.06894757*(2*T150*0.165)/(10.75*$C$150)</f>
        <v>30.901338814883726</v>
      </c>
      <c r="V150" s="4">
        <v>12.5</v>
      </c>
      <c r="W150" s="11">
        <f>10^3*0.06894757*(2*V150*0.165)/(10.75*$C$150)</f>
        <v>26.456625697674415</v>
      </c>
      <c r="X150" s="4">
        <v>10.7</v>
      </c>
      <c r="Y150" s="11">
        <f>10^3*0.06894757*(2*X150*0.165)/(10.75*$C$150)</f>
        <v>22.646871597209305</v>
      </c>
      <c r="Z150" s="4">
        <v>9.1999999999999993</v>
      </c>
      <c r="AA150" s="12">
        <f>10^3*0.06894757*(2*Z150*0.165)/(10.75*$C$150)</f>
        <v>19.472076513488371</v>
      </c>
    </row>
    <row r="151" spans="1:27" x14ac:dyDescent="0.25">
      <c r="A151" s="43"/>
      <c r="B151" s="45"/>
      <c r="C151" s="4">
        <v>1</v>
      </c>
      <c r="D151" s="4">
        <v>10</v>
      </c>
      <c r="E151" s="4">
        <v>30</v>
      </c>
      <c r="F151" s="4">
        <v>10.75</v>
      </c>
      <c r="G151" s="4">
        <v>0.307</v>
      </c>
      <c r="H151" s="4">
        <v>16</v>
      </c>
      <c r="I151" s="11">
        <f>10^3*0.06894757*(2*H151*0.307)/(10.75*$C$151)</f>
        <v>63.008458388837205</v>
      </c>
      <c r="J151" s="4">
        <v>16</v>
      </c>
      <c r="K151" s="11">
        <f>10^3*0.06894757*(2*J151*0.307)/(10.75*$C$151)</f>
        <v>63.008458388837205</v>
      </c>
      <c r="L151" s="4">
        <v>16</v>
      </c>
      <c r="M151" s="11">
        <f>10^3*0.06894757*(2*L151*0.307)/(10.75*$C$151)</f>
        <v>63.008458388837205</v>
      </c>
      <c r="N151" s="4">
        <v>16</v>
      </c>
      <c r="O151" s="11">
        <f>10^3*0.06894757*(2*N151*0.307)/(10.75*$C$151)</f>
        <v>63.008458388837205</v>
      </c>
      <c r="P151" s="4">
        <v>16</v>
      </c>
      <c r="Q151" s="11">
        <f>10^3*0.06894757*(2*P151*0.307)/(10.75*$C$151)</f>
        <v>63.008458388837205</v>
      </c>
      <c r="R151" s="4">
        <v>15.3</v>
      </c>
      <c r="S151" s="11">
        <f>10^3*0.06894757*(2*R151*0.307)/(10.75*$C$151)</f>
        <v>60.251838334325576</v>
      </c>
      <c r="T151" s="4">
        <v>14.6</v>
      </c>
      <c r="U151" s="11">
        <f>10^3*0.06894757*(2*T151*0.307)/(10.75*$C$151)</f>
        <v>57.495218279813948</v>
      </c>
      <c r="V151" s="4">
        <v>12.5</v>
      </c>
      <c r="W151" s="11">
        <f>10^3*0.06894757*(2*V151*0.307)/(10.75*$C$151)</f>
        <v>49.225358116279068</v>
      </c>
      <c r="X151" s="4">
        <v>10.7</v>
      </c>
      <c r="Y151" s="11">
        <f>10^3*0.06894757*(2*X151*0.307)/(10.75*$C$151)</f>
        <v>42.136906547534885</v>
      </c>
      <c r="Z151" s="4">
        <v>9.1999999999999993</v>
      </c>
      <c r="AA151" s="12">
        <f>10^3*0.06894757*(2*Z151*0.307)/(10.75*$C$151)</f>
        <v>36.22986357358139</v>
      </c>
    </row>
    <row r="152" spans="1:27" x14ac:dyDescent="0.25">
      <c r="A152" s="43"/>
      <c r="B152" s="45"/>
      <c r="C152" s="4">
        <v>1</v>
      </c>
      <c r="D152" s="4">
        <v>10</v>
      </c>
      <c r="E152" s="4">
        <v>40</v>
      </c>
      <c r="F152" s="4">
        <v>10.75</v>
      </c>
      <c r="G152" s="4">
        <v>0.36499999999999999</v>
      </c>
      <c r="H152" s="4">
        <v>16</v>
      </c>
      <c r="I152" s="11">
        <f>10^3*0.06894757*(2*H152*0.365)/(10.75*$C$152)</f>
        <v>74.912336520930225</v>
      </c>
      <c r="J152" s="4">
        <v>16</v>
      </c>
      <c r="K152" s="11">
        <f>10^3*0.06894757*(2*J152*0.365)/(10.75*$C$152)</f>
        <v>74.912336520930225</v>
      </c>
      <c r="L152" s="4">
        <v>16</v>
      </c>
      <c r="M152" s="11">
        <f>10^3*0.06894757*(2*L152*0.365)/(10.75*$C$152)</f>
        <v>74.912336520930225</v>
      </c>
      <c r="N152" s="4">
        <v>16</v>
      </c>
      <c r="O152" s="11">
        <f>10^3*0.06894757*(2*N152*0.365)/(10.75*$C$152)</f>
        <v>74.912336520930225</v>
      </c>
      <c r="P152" s="4">
        <v>16</v>
      </c>
      <c r="Q152" s="11">
        <f>10^3*0.06894757*(2*P152*0.365)/(10.75*$C$152)</f>
        <v>74.912336520930225</v>
      </c>
      <c r="R152" s="4">
        <v>15.3</v>
      </c>
      <c r="S152" s="11">
        <f>10^3*0.06894757*(2*R152*0.365)/(10.75*$C$152)</f>
        <v>71.634921798139544</v>
      </c>
      <c r="T152" s="4">
        <v>14.6</v>
      </c>
      <c r="U152" s="11">
        <f>10^3*0.06894757*(2*T152*0.365)/(10.75*$C$152)</f>
        <v>68.357507075348835</v>
      </c>
      <c r="V152" s="4">
        <v>12.5</v>
      </c>
      <c r="W152" s="11">
        <f>10^3*0.06894757*(2*V152*0.365)/(10.75*$C$152)</f>
        <v>58.525262906976742</v>
      </c>
      <c r="X152" s="4">
        <v>10.7</v>
      </c>
      <c r="Y152" s="11">
        <f>10^3*0.06894757*(2*X152*0.365)/(10.75*$C$152)</f>
        <v>50.097625048372088</v>
      </c>
      <c r="Z152" s="4">
        <v>9.1999999999999993</v>
      </c>
      <c r="AA152" s="12">
        <f>10^3*0.06894757*(2*Z152*0.365)/(10.75*$C$152)</f>
        <v>43.074593499534878</v>
      </c>
    </row>
    <row r="153" spans="1:27" x14ac:dyDescent="0.25">
      <c r="A153" s="43"/>
      <c r="B153" s="45"/>
      <c r="C153" s="4">
        <v>1</v>
      </c>
      <c r="D153" s="4">
        <v>10</v>
      </c>
      <c r="E153" s="4">
        <v>80</v>
      </c>
      <c r="F153" s="4">
        <v>10.75</v>
      </c>
      <c r="G153" s="4">
        <v>0.59399999999999997</v>
      </c>
      <c r="H153" s="4">
        <v>16</v>
      </c>
      <c r="I153" s="11">
        <f>10^3*0.06894757*(2*H153*0.594)/(10.75*$C$153)</f>
        <v>121.91213121488371</v>
      </c>
      <c r="J153" s="4">
        <v>16</v>
      </c>
      <c r="K153" s="11">
        <f>10^3*0.06894757*(2*J153*0.594)/(10.75*$C$153)</f>
        <v>121.91213121488371</v>
      </c>
      <c r="L153" s="4">
        <v>16</v>
      </c>
      <c r="M153" s="11">
        <f>10^3*0.06894757*(2*L153*0.594)/(10.75*$C$153)</f>
        <v>121.91213121488371</v>
      </c>
      <c r="N153" s="4">
        <v>16</v>
      </c>
      <c r="O153" s="11">
        <f>10^3*0.06894757*(2*N153*0.594)/(10.75*$C$153)</f>
        <v>121.91213121488371</v>
      </c>
      <c r="P153" s="4">
        <v>16</v>
      </c>
      <c r="Q153" s="11">
        <f>10^3*0.06894757*(2*P153*0.594)/(10.75*$C$153)</f>
        <v>121.91213121488371</v>
      </c>
      <c r="R153" s="4">
        <v>15.3</v>
      </c>
      <c r="S153" s="11">
        <f>10^3*0.06894757*(2*R153*0.594)/(10.75*$C$153)</f>
        <v>116.57847547423256</v>
      </c>
      <c r="T153" s="4">
        <v>14.6</v>
      </c>
      <c r="U153" s="11">
        <f>10^3*0.06894757*(2*T153*0.594)/(10.75*$C$153)</f>
        <v>111.24481973358139</v>
      </c>
      <c r="V153" s="4">
        <v>12.5</v>
      </c>
      <c r="W153" s="11">
        <f>10^3*0.06894757*(2*V153*0.594)/(10.75*$C$153)</f>
        <v>95.243852511627907</v>
      </c>
      <c r="X153" s="4">
        <v>10.7</v>
      </c>
      <c r="Y153" s="11">
        <f>10^3*0.06894757*(2*X153*0.594)/(10.75*$C$153)</f>
        <v>81.528737749953478</v>
      </c>
      <c r="Z153" s="4">
        <v>9.1999999999999993</v>
      </c>
      <c r="AA153" s="12">
        <f>10^3*0.06894757*(2*Z153*0.594)/(10.75*$C$153)</f>
        <v>70.099475448558124</v>
      </c>
    </row>
    <row r="154" spans="1:27" ht="16.5" thickBot="1" x14ac:dyDescent="0.3">
      <c r="A154" s="43"/>
      <c r="B154" s="46"/>
      <c r="C154" s="5">
        <v>1</v>
      </c>
      <c r="D154" s="5">
        <v>10</v>
      </c>
      <c r="E154" s="5">
        <v>160</v>
      </c>
      <c r="F154" s="5">
        <v>10.75</v>
      </c>
      <c r="G154" s="5">
        <v>1.125</v>
      </c>
      <c r="H154" s="5">
        <v>16</v>
      </c>
      <c r="I154" s="13">
        <f>10^3*0.06894757*(2*H154*1.125)/(10.75*$C$154)</f>
        <v>230.89418790697675</v>
      </c>
      <c r="J154" s="5">
        <v>16</v>
      </c>
      <c r="K154" s="13">
        <f>10^3*0.06894757*(2*J154*1.125)/(10.75*$C$154)</f>
        <v>230.89418790697675</v>
      </c>
      <c r="L154" s="5">
        <v>16</v>
      </c>
      <c r="M154" s="13">
        <f>10^3*0.06894757*(2*L154*1.125)/(10.75*$C$154)</f>
        <v>230.89418790697675</v>
      </c>
      <c r="N154" s="5">
        <v>16</v>
      </c>
      <c r="O154" s="13">
        <f>10^3*0.06894757*(2*N154*1.125)/(10.75*$C$154)</f>
        <v>230.89418790697675</v>
      </c>
      <c r="P154" s="5">
        <v>16</v>
      </c>
      <c r="Q154" s="13">
        <f>10^3*0.06894757*(2*P154*1.125)/(10.75*$C$154)</f>
        <v>230.89418790697675</v>
      </c>
      <c r="R154" s="5">
        <v>15.3</v>
      </c>
      <c r="S154" s="13">
        <f>10^3*0.06894757*(2*R154*1.125)/(10.75*$C$154)</f>
        <v>220.79256718604654</v>
      </c>
      <c r="T154" s="5">
        <v>14.6</v>
      </c>
      <c r="U154" s="13">
        <f>10^3*0.06894757*(2*T154*1.125)/(10.75*$C$154)</f>
        <v>210.6909464651163</v>
      </c>
      <c r="V154" s="5">
        <v>12.5</v>
      </c>
      <c r="W154" s="13">
        <f>10^3*0.06894757*(2*V154*1.125)/(10.75*$C$154)</f>
        <v>180.3860843023256</v>
      </c>
      <c r="X154" s="5">
        <v>10.7</v>
      </c>
      <c r="Y154" s="13">
        <f>10^3*0.06894757*(2*X154*1.125)/(10.75*$C$154)</f>
        <v>154.4104881627907</v>
      </c>
      <c r="Z154" s="5">
        <v>9.1999999999999993</v>
      </c>
      <c r="AA154" s="14">
        <f>10^3*0.06894757*(2*Z154*1.125)/(10.75*$C$154)</f>
        <v>132.76415804651162</v>
      </c>
    </row>
    <row r="155" spans="1:27" x14ac:dyDescent="0.25">
      <c r="A155" s="43"/>
      <c r="B155" s="44" t="s">
        <v>1</v>
      </c>
      <c r="C155" s="3">
        <v>1</v>
      </c>
      <c r="D155" s="3">
        <v>10</v>
      </c>
      <c r="E155" s="3">
        <v>5</v>
      </c>
      <c r="F155" s="19">
        <v>10.75</v>
      </c>
      <c r="G155" s="3">
        <v>0.13400000000000001</v>
      </c>
      <c r="H155" s="3">
        <v>20</v>
      </c>
      <c r="I155" s="9">
        <f>10^3*0.06894757*(2*H155*0.134)/(10.75*$C$149)</f>
        <v>34.377579088372094</v>
      </c>
      <c r="J155" s="3">
        <v>20</v>
      </c>
      <c r="K155" s="9">
        <f>10^3*0.06894757*(2*J155*0.134)/(10.75*$C$149)</f>
        <v>34.377579088372094</v>
      </c>
      <c r="L155" s="3">
        <v>20</v>
      </c>
      <c r="M155" s="9">
        <f>10^3*0.06894757*(2*L155*0.134)/(10.75*$C$149)</f>
        <v>34.377579088372094</v>
      </c>
      <c r="N155" s="3">
        <v>19.899999999999999</v>
      </c>
      <c r="O155" s="9">
        <f>10^3*0.06894757*(2*N155*0.134)/(10.75*$C$149)</f>
        <v>34.205691192930232</v>
      </c>
      <c r="P155" s="3">
        <v>19</v>
      </c>
      <c r="Q155" s="9">
        <f>10^3*0.06894757*(2*P155*0.134)/(10.75*$C$149)</f>
        <v>32.658700133953488</v>
      </c>
      <c r="R155" s="3">
        <v>17.899999999999999</v>
      </c>
      <c r="S155" s="9">
        <f>10^3*0.06894757*(2*R155*0.134)/(10.75*$C$149)</f>
        <v>30.767933284093022</v>
      </c>
      <c r="T155" s="3">
        <v>17.3</v>
      </c>
      <c r="U155" s="9">
        <f>10^3*0.06894757*(2*T155*0.134)/(10.75*$C$149)</f>
        <v>29.736605911441863</v>
      </c>
      <c r="V155" s="3">
        <v>16.7</v>
      </c>
      <c r="W155" s="9">
        <f>10^3*0.06894757*(2*V155*0.134)/(10.75*$C$149)</f>
        <v>28.705278538790697</v>
      </c>
      <c r="X155" s="3">
        <v>13.9</v>
      </c>
      <c r="Y155" s="9">
        <f>10^3*0.06894757*(2*X155*0.134)/(10.75*$C$149)</f>
        <v>23.892417466418607</v>
      </c>
      <c r="Z155" s="3">
        <v>11.4</v>
      </c>
      <c r="AA155" s="10">
        <f>10^3*0.06894757*(2*Z155*0.134)/(10.75*$C$149)</f>
        <v>19.595220080372091</v>
      </c>
    </row>
    <row r="156" spans="1:27" x14ac:dyDescent="0.25">
      <c r="A156" s="43"/>
      <c r="B156" s="45"/>
      <c r="C156" s="4">
        <v>1</v>
      </c>
      <c r="D156" s="4">
        <v>10</v>
      </c>
      <c r="E156" s="4">
        <v>10</v>
      </c>
      <c r="F156" s="4">
        <v>10.75</v>
      </c>
      <c r="G156" s="4">
        <v>0.16500000000000001</v>
      </c>
      <c r="H156" s="4">
        <v>20</v>
      </c>
      <c r="I156" s="11">
        <f>10^3*0.06894757*(2*H156*0.165)/(10.75*$C$150)</f>
        <v>42.33060111627907</v>
      </c>
      <c r="J156" s="4">
        <v>20</v>
      </c>
      <c r="K156" s="11">
        <f>10^3*0.06894757*(2*J156*0.165)/(10.75*$C$150)</f>
        <v>42.33060111627907</v>
      </c>
      <c r="L156" s="4">
        <v>20</v>
      </c>
      <c r="M156" s="11">
        <f>10^3*0.06894757*(2*L156*0.165)/(10.75*$C$150)</f>
        <v>42.33060111627907</v>
      </c>
      <c r="N156" s="4">
        <v>19.899999999999999</v>
      </c>
      <c r="O156" s="11">
        <f>10^3*0.06894757*(2*N156*0.165)/(10.75*$C$150)</f>
        <v>42.118948110697673</v>
      </c>
      <c r="P156" s="4">
        <v>19</v>
      </c>
      <c r="Q156" s="11">
        <f>10^3*0.06894757*(2*P156*0.165)/(10.75*$C$150)</f>
        <v>40.214071060465123</v>
      </c>
      <c r="R156" s="4">
        <v>17.899999999999999</v>
      </c>
      <c r="S156" s="11">
        <f>10^3*0.06894757*(2*R156*0.165)/(10.75*$C$150)</f>
        <v>37.885887999069766</v>
      </c>
      <c r="T156" s="4">
        <v>17.3</v>
      </c>
      <c r="U156" s="11">
        <f>10^3*0.06894757*(2*T156*0.165)/(10.75*$C$150)</f>
        <v>36.615969965581399</v>
      </c>
      <c r="V156" s="4">
        <v>16.7</v>
      </c>
      <c r="W156" s="11">
        <f>10^3*0.06894757*(2*V156*0.165)/(10.75*$C$150)</f>
        <v>35.346051932093019</v>
      </c>
      <c r="X156" s="4">
        <v>13.9</v>
      </c>
      <c r="Y156" s="11">
        <f>10^3*0.06894757*(2*X156*0.165)/(10.75*$C$150)</f>
        <v>29.419767775813959</v>
      </c>
      <c r="Z156" s="4">
        <v>11.4</v>
      </c>
      <c r="AA156" s="12">
        <f>10^3*0.06894757*(2*Z156*0.165)/(10.75*$C$150)</f>
        <v>24.128442636279068</v>
      </c>
    </row>
    <row r="157" spans="1:27" x14ac:dyDescent="0.25">
      <c r="A157" s="43"/>
      <c r="B157" s="45"/>
      <c r="C157" s="4">
        <v>1</v>
      </c>
      <c r="D157" s="4">
        <v>10</v>
      </c>
      <c r="E157" s="4">
        <v>30</v>
      </c>
      <c r="F157" s="4">
        <v>10.75</v>
      </c>
      <c r="G157" s="4">
        <v>0.307</v>
      </c>
      <c r="H157" s="4">
        <v>20</v>
      </c>
      <c r="I157" s="11">
        <f>10^3*0.06894757*(2*H157*0.307)/(10.75*$C$151)</f>
        <v>78.760572986046498</v>
      </c>
      <c r="J157" s="4">
        <v>20</v>
      </c>
      <c r="K157" s="11">
        <f>10^3*0.06894757*(2*J157*0.307)/(10.75*$C$151)</f>
        <v>78.760572986046498</v>
      </c>
      <c r="L157" s="4">
        <v>20</v>
      </c>
      <c r="M157" s="11">
        <f>10^3*0.06894757*(2*L157*0.307)/(10.75*$C$151)</f>
        <v>78.760572986046498</v>
      </c>
      <c r="N157" s="4">
        <v>19.899999999999999</v>
      </c>
      <c r="O157" s="11">
        <f>10^3*0.06894757*(2*N157*0.307)/(10.75*$C$151)</f>
        <v>78.366770121116275</v>
      </c>
      <c r="P157" s="4">
        <v>19</v>
      </c>
      <c r="Q157" s="11">
        <f>10^3*0.06894757*(2*P157*0.307)/(10.75*$C$151)</f>
        <v>74.822544336744187</v>
      </c>
      <c r="R157" s="4">
        <v>17.899999999999999</v>
      </c>
      <c r="S157" s="11">
        <f>10^3*0.06894757*(2*R157*0.307)/(10.75*$C$151)</f>
        <v>70.490712822511611</v>
      </c>
      <c r="T157" s="4">
        <v>17.3</v>
      </c>
      <c r="U157" s="11">
        <f>10^3*0.06894757*(2*T157*0.307)/(10.75*$C$151)</f>
        <v>68.127895632930233</v>
      </c>
      <c r="V157" s="4">
        <v>16.7</v>
      </c>
      <c r="W157" s="11">
        <f>10^3*0.06894757*(2*V157*0.307)/(10.75*$C$151)</f>
        <v>65.765078443348827</v>
      </c>
      <c r="X157" s="4">
        <v>13.9</v>
      </c>
      <c r="Y157" s="11">
        <f>10^3*0.06894757*(2*X157*0.307)/(10.75*$C$151)</f>
        <v>54.738598225302319</v>
      </c>
      <c r="Z157" s="4">
        <v>11.4</v>
      </c>
      <c r="AA157" s="12">
        <f>10^3*0.06894757*(2*Z157*0.307)/(10.75*$C$151)</f>
        <v>44.893526602046514</v>
      </c>
    </row>
    <row r="158" spans="1:27" x14ac:dyDescent="0.25">
      <c r="A158" s="43"/>
      <c r="B158" s="45"/>
      <c r="C158" s="4">
        <v>1</v>
      </c>
      <c r="D158" s="4">
        <v>10</v>
      </c>
      <c r="E158" s="4">
        <v>40</v>
      </c>
      <c r="F158" s="4">
        <v>10.75</v>
      </c>
      <c r="G158" s="4">
        <v>0.36499999999999999</v>
      </c>
      <c r="H158" s="4">
        <v>20</v>
      </c>
      <c r="I158" s="11">
        <f>10^3*0.06894757*(2*H158*0.365)/(10.75*$C$152)</f>
        <v>93.640420651162785</v>
      </c>
      <c r="J158" s="4">
        <v>20</v>
      </c>
      <c r="K158" s="11">
        <f>10^3*0.06894757*(2*J158*0.365)/(10.75*$C$152)</f>
        <v>93.640420651162785</v>
      </c>
      <c r="L158" s="4">
        <v>20</v>
      </c>
      <c r="M158" s="11">
        <f>10^3*0.06894757*(2*L158*0.365)/(10.75*$C$152)</f>
        <v>93.640420651162785</v>
      </c>
      <c r="N158" s="4">
        <v>19.899999999999999</v>
      </c>
      <c r="O158" s="11">
        <f>10^3*0.06894757*(2*N158*0.365)/(10.75*$C$152)</f>
        <v>93.172218547906965</v>
      </c>
      <c r="P158" s="4">
        <v>19</v>
      </c>
      <c r="Q158" s="11">
        <f>10^3*0.06894757*(2*P158*0.365)/(10.75*$C$152)</f>
        <v>88.958399618604645</v>
      </c>
      <c r="R158" s="4">
        <v>17.899999999999999</v>
      </c>
      <c r="S158" s="11">
        <f>10^3*0.06894757*(2*R158*0.365)/(10.75*$C$152)</f>
        <v>83.808176482790685</v>
      </c>
      <c r="T158" s="4">
        <v>17.3</v>
      </c>
      <c r="U158" s="11">
        <f>10^3*0.06894757*(2*T158*0.365)/(10.75*$C$152)</f>
        <v>80.99896386325581</v>
      </c>
      <c r="V158" s="4">
        <v>16.7</v>
      </c>
      <c r="W158" s="11">
        <f>10^3*0.06894757*(2*V158*0.365)/(10.75*$C$152)</f>
        <v>78.18975124372092</v>
      </c>
      <c r="X158" s="4">
        <v>13.9</v>
      </c>
      <c r="Y158" s="11">
        <f>10^3*0.06894757*(2*X158*0.365)/(10.75*$C$152)</f>
        <v>65.08009235255814</v>
      </c>
      <c r="Z158" s="4">
        <v>11.4</v>
      </c>
      <c r="AA158" s="12">
        <f>10^3*0.06894757*(2*Z158*0.365)/(10.75*$C$152)</f>
        <v>53.375039771162783</v>
      </c>
    </row>
    <row r="159" spans="1:27" x14ac:dyDescent="0.25">
      <c r="A159" s="43"/>
      <c r="B159" s="45"/>
      <c r="C159" s="4">
        <v>1</v>
      </c>
      <c r="D159" s="4">
        <v>10</v>
      </c>
      <c r="E159" s="4">
        <v>80</v>
      </c>
      <c r="F159" s="4">
        <v>10.75</v>
      </c>
      <c r="G159" s="4">
        <v>0.59399999999999997</v>
      </c>
      <c r="H159" s="4">
        <v>20</v>
      </c>
      <c r="I159" s="11">
        <f>10^3*0.06894757*(2*H159*0.594)/(10.75*$C$153)</f>
        <v>152.39016401860462</v>
      </c>
      <c r="J159" s="4">
        <v>20</v>
      </c>
      <c r="K159" s="11">
        <f>10^3*0.06894757*(2*J159*0.594)/(10.75*$C$153)</f>
        <v>152.39016401860462</v>
      </c>
      <c r="L159" s="4">
        <v>20</v>
      </c>
      <c r="M159" s="11">
        <f>10^3*0.06894757*(2*L159*0.594)/(10.75*$C$153)</f>
        <v>152.39016401860462</v>
      </c>
      <c r="N159" s="4">
        <v>19.899999999999999</v>
      </c>
      <c r="O159" s="11">
        <f>10^3*0.06894757*(2*N159*0.594)/(10.75*$C$153)</f>
        <v>151.62821319851162</v>
      </c>
      <c r="P159" s="4">
        <v>19</v>
      </c>
      <c r="Q159" s="11">
        <f>10^3*0.06894757*(2*P159*0.594)/(10.75*$C$153)</f>
        <v>144.7706558176744</v>
      </c>
      <c r="R159" s="4">
        <v>17.899999999999999</v>
      </c>
      <c r="S159" s="11">
        <f>10^3*0.06894757*(2*R159*0.594)/(10.75*$C$153)</f>
        <v>136.38919679665113</v>
      </c>
      <c r="T159" s="4">
        <v>17.3</v>
      </c>
      <c r="U159" s="11">
        <f>10^3*0.06894757*(2*T159*0.594)/(10.75*$C$153)</f>
        <v>131.81749187609302</v>
      </c>
      <c r="V159" s="4">
        <v>16.7</v>
      </c>
      <c r="W159" s="11">
        <f>10^3*0.06894757*(2*V159*0.594)/(10.75*$C$153)</f>
        <v>127.24578695553487</v>
      </c>
      <c r="X159" s="4">
        <v>13.9</v>
      </c>
      <c r="Y159" s="11">
        <f>10^3*0.06894757*(2*X159*0.594)/(10.75*$C$153)</f>
        <v>105.91116399293024</v>
      </c>
      <c r="Z159" s="4">
        <v>11.4</v>
      </c>
      <c r="AA159" s="12">
        <f>10^3*0.06894757*(2*Z159*0.594)/(10.75*$C$153)</f>
        <v>86.86239349060466</v>
      </c>
    </row>
    <row r="160" spans="1:27" ht="16.5" thickBot="1" x14ac:dyDescent="0.3">
      <c r="A160" s="43"/>
      <c r="B160" s="46"/>
      <c r="C160" s="5">
        <v>1</v>
      </c>
      <c r="D160" s="5">
        <v>10</v>
      </c>
      <c r="E160" s="5">
        <v>160</v>
      </c>
      <c r="F160" s="5">
        <v>10.75</v>
      </c>
      <c r="G160" s="5">
        <v>1.125</v>
      </c>
      <c r="H160" s="5">
        <v>20</v>
      </c>
      <c r="I160" s="13">
        <f>10^3*0.06894757*(2*H160*1.125)/(10.75*$C$154)</f>
        <v>288.61773488372091</v>
      </c>
      <c r="J160" s="5">
        <v>20</v>
      </c>
      <c r="K160" s="13">
        <f>10^3*0.06894757*(2*J160*1.125)/(10.75*$C$154)</f>
        <v>288.61773488372091</v>
      </c>
      <c r="L160" s="5">
        <v>20</v>
      </c>
      <c r="M160" s="13">
        <f>10^3*0.06894757*(2*L160*1.125)/(10.75*$C$154)</f>
        <v>288.61773488372091</v>
      </c>
      <c r="N160" s="5">
        <v>19.899999999999999</v>
      </c>
      <c r="O160" s="13">
        <f>10^3*0.06894757*(2*N160*1.125)/(10.75*$C$154)</f>
        <v>287.1746462093023</v>
      </c>
      <c r="P160" s="5">
        <v>19</v>
      </c>
      <c r="Q160" s="13">
        <f>10^3*0.06894757*(2*P160*1.125)/(10.75*$C$154)</f>
        <v>274.1868481395349</v>
      </c>
      <c r="R160" s="5">
        <v>17.899999999999999</v>
      </c>
      <c r="S160" s="13">
        <f>10^3*0.06894757*(2*R160*1.125)/(10.75*$C$154)</f>
        <v>258.31287272093022</v>
      </c>
      <c r="T160" s="5">
        <v>17.3</v>
      </c>
      <c r="U160" s="13">
        <f>10^3*0.06894757*(2*T160*1.125)/(10.75*$C$154)</f>
        <v>249.65434067441865</v>
      </c>
      <c r="V160" s="5">
        <v>16.7</v>
      </c>
      <c r="W160" s="13">
        <f>10^3*0.06894757*(2*V160*1.125)/(10.75*$C$154)</f>
        <v>240.99580862790694</v>
      </c>
      <c r="X160" s="5">
        <v>13.9</v>
      </c>
      <c r="Y160" s="13">
        <f>10^3*0.06894757*(2*X160*1.125)/(10.75*$C$154)</f>
        <v>200.58932574418606</v>
      </c>
      <c r="Z160" s="5">
        <v>11.4</v>
      </c>
      <c r="AA160" s="14">
        <f>10^3*0.06894757*(2*Z160*1.125)/(10.75*$C$154)</f>
        <v>164.51210888372094</v>
      </c>
    </row>
    <row r="161" spans="1:27" x14ac:dyDescent="0.25">
      <c r="A161" s="43"/>
      <c r="B161" s="44" t="s">
        <v>6</v>
      </c>
      <c r="C161" s="3">
        <v>1</v>
      </c>
      <c r="D161" s="3">
        <v>10</v>
      </c>
      <c r="E161" s="3">
        <v>5</v>
      </c>
      <c r="F161" s="19">
        <v>10.75</v>
      </c>
      <c r="G161" s="3">
        <v>0.13400000000000001</v>
      </c>
      <c r="H161" s="6">
        <v>23.3</v>
      </c>
      <c r="I161" s="9">
        <f>10^3*0.06894757*(2*H161*0.134)/(10.75*$C$149)</f>
        <v>40.049879637953495</v>
      </c>
      <c r="J161" s="6">
        <v>23.3</v>
      </c>
      <c r="K161" s="9">
        <f>10^3*0.06894757*(2*J161*0.134)/(10.75*$C$149)</f>
        <v>40.049879637953495</v>
      </c>
      <c r="L161" s="6">
        <v>23.3</v>
      </c>
      <c r="M161" s="9">
        <f>10^3*0.06894757*(2*L161*0.134)/(10.75*$C$149)</f>
        <v>40.049879637953495</v>
      </c>
      <c r="N161" s="6">
        <v>22.8</v>
      </c>
      <c r="O161" s="9">
        <f>10^3*0.06894757*(2*N161*0.134)/(10.75*$C$149)</f>
        <v>39.190440160744181</v>
      </c>
      <c r="P161" s="6">
        <v>21.7</v>
      </c>
      <c r="Q161" s="9">
        <f>10^3*0.06894757*(2*P161*0.134)/(10.75*$C$149)</f>
        <v>37.299673310883719</v>
      </c>
      <c r="R161" s="6">
        <v>20.399999999999999</v>
      </c>
      <c r="S161" s="9">
        <f>10^3*0.06894757*(2*R161*0.134)/(10.75*$C$149)</f>
        <v>35.065130670139531</v>
      </c>
      <c r="T161" s="6">
        <v>19.8</v>
      </c>
      <c r="U161" s="9">
        <f>10^3*0.06894757*(2*T161*0.134)/(10.75*$C$149)</f>
        <v>34.033803297488376</v>
      </c>
      <c r="V161" s="6">
        <v>18.3</v>
      </c>
      <c r="W161" s="9">
        <f>10^3*0.06894757*(2*V161*0.134)/(10.75*$C$149)</f>
        <v>31.455484865860466</v>
      </c>
      <c r="X161" s="6">
        <v>14.8</v>
      </c>
      <c r="Y161" s="9">
        <f>10^3*0.06894757*(2*X161*0.134)/(10.75*$C$149)</f>
        <v>25.439408525395351</v>
      </c>
      <c r="Z161" s="6">
        <v>12</v>
      </c>
      <c r="AA161" s="10">
        <f>10^3*0.06894757*(2*Z161*0.134)/(10.75*$C$149)</f>
        <v>20.626547453023257</v>
      </c>
    </row>
    <row r="162" spans="1:27" x14ac:dyDescent="0.25">
      <c r="A162" s="43"/>
      <c r="B162" s="45"/>
      <c r="C162" s="4">
        <v>1</v>
      </c>
      <c r="D162" s="4">
        <v>10</v>
      </c>
      <c r="E162" s="4">
        <v>10</v>
      </c>
      <c r="F162" s="4">
        <v>10.75</v>
      </c>
      <c r="G162" s="4">
        <v>0.16500000000000001</v>
      </c>
      <c r="H162" s="7">
        <v>23.3</v>
      </c>
      <c r="I162" s="11">
        <f>10^3*0.06894757*(2*H162*0.165)/(10.75*$C$150)</f>
        <v>49.31515030046512</v>
      </c>
      <c r="J162" s="7">
        <v>23.3</v>
      </c>
      <c r="K162" s="11">
        <f>10^3*0.06894757*(2*J162*0.165)/(10.75*$C$150)</f>
        <v>49.31515030046512</v>
      </c>
      <c r="L162" s="7">
        <v>23.3</v>
      </c>
      <c r="M162" s="11">
        <f>10^3*0.06894757*(2*L162*0.165)/(10.75*$C$150)</f>
        <v>49.31515030046512</v>
      </c>
      <c r="N162" s="7">
        <v>22.8</v>
      </c>
      <c r="O162" s="11">
        <f>10^3*0.06894757*(2*N162*0.165)/(10.75*$C$150)</f>
        <v>48.256885272558137</v>
      </c>
      <c r="P162" s="7">
        <v>21.7</v>
      </c>
      <c r="Q162" s="11">
        <f>10^3*0.06894757*(2*P162*0.165)/(10.75*$C$150)</f>
        <v>45.928702211162793</v>
      </c>
      <c r="R162" s="7">
        <v>20.399999999999999</v>
      </c>
      <c r="S162" s="11">
        <f>10^3*0.06894757*(2*R162*0.165)/(10.75*$C$150)</f>
        <v>43.17721313860465</v>
      </c>
      <c r="T162" s="7">
        <v>19.8</v>
      </c>
      <c r="U162" s="11">
        <f>10^3*0.06894757*(2*T162*0.165)/(10.75*$C$150)</f>
        <v>41.907295105116283</v>
      </c>
      <c r="V162" s="7">
        <v>18.3</v>
      </c>
      <c r="W162" s="11">
        <f>10^3*0.06894757*(2*V162*0.165)/(10.75*$C$150)</f>
        <v>38.732500021395353</v>
      </c>
      <c r="X162" s="7">
        <v>14.8</v>
      </c>
      <c r="Y162" s="11">
        <f>10^3*0.06894757*(2*X162*0.165)/(10.75*$C$150)</f>
        <v>31.324644826046516</v>
      </c>
      <c r="Z162" s="7">
        <v>12</v>
      </c>
      <c r="AA162" s="12">
        <f>10^3*0.06894757*(2*Z162*0.165)/(10.75*$C$150)</f>
        <v>25.398360669767442</v>
      </c>
    </row>
    <row r="163" spans="1:27" x14ac:dyDescent="0.25">
      <c r="A163" s="43"/>
      <c r="B163" s="45"/>
      <c r="C163" s="4">
        <v>1</v>
      </c>
      <c r="D163" s="4">
        <v>10</v>
      </c>
      <c r="E163" s="4">
        <v>30</v>
      </c>
      <c r="F163" s="4">
        <v>10.75</v>
      </c>
      <c r="G163" s="4">
        <v>0.307</v>
      </c>
      <c r="H163" s="7">
        <v>23.3</v>
      </c>
      <c r="I163" s="11">
        <f>10^3*0.06894757*(2*H163*0.307)/(10.75*$C$151)</f>
        <v>91.756067528744197</v>
      </c>
      <c r="J163" s="7">
        <v>23.3</v>
      </c>
      <c r="K163" s="11">
        <f>10^3*0.06894757*(2*J163*0.307)/(10.75*$C$151)</f>
        <v>91.756067528744197</v>
      </c>
      <c r="L163" s="7">
        <v>23.3</v>
      </c>
      <c r="M163" s="11">
        <f>10^3*0.06894757*(2*L163*0.307)/(10.75*$C$151)</f>
        <v>91.756067528744197</v>
      </c>
      <c r="N163" s="7">
        <v>22.8</v>
      </c>
      <c r="O163" s="11">
        <f>10^3*0.06894757*(2*N163*0.307)/(10.75*$C$151)</f>
        <v>89.787053204093027</v>
      </c>
      <c r="P163" s="7">
        <v>21.7</v>
      </c>
      <c r="Q163" s="11">
        <f>10^3*0.06894757*(2*P163*0.307)/(10.75*$C$151)</f>
        <v>85.455221689860451</v>
      </c>
      <c r="R163" s="7">
        <v>20.399999999999999</v>
      </c>
      <c r="S163" s="11">
        <f>10^3*0.06894757*(2*R163*0.307)/(10.75*$C$151)</f>
        <v>80.33578444576743</v>
      </c>
      <c r="T163" s="7">
        <v>19.8</v>
      </c>
      <c r="U163" s="11">
        <f>10^3*0.06894757*(2*T163*0.307)/(10.75*$C$151)</f>
        <v>77.972967256186038</v>
      </c>
      <c r="V163" s="7">
        <v>18.3</v>
      </c>
      <c r="W163" s="11">
        <f>10^3*0.06894757*(2*V163*0.307)/(10.75*$C$151)</f>
        <v>72.065924282232558</v>
      </c>
      <c r="X163" s="7">
        <v>14.8</v>
      </c>
      <c r="Y163" s="11">
        <f>10^3*0.06894757*(2*X163*0.307)/(10.75*$C$151)</f>
        <v>58.282824009674421</v>
      </c>
      <c r="Z163" s="7">
        <v>12</v>
      </c>
      <c r="AA163" s="12">
        <f>10^3*0.06894757*(2*Z163*0.307)/(10.75*$C$151)</f>
        <v>47.256343791627913</v>
      </c>
    </row>
    <row r="164" spans="1:27" x14ac:dyDescent="0.25">
      <c r="A164" s="43"/>
      <c r="B164" s="45"/>
      <c r="C164" s="4">
        <v>1</v>
      </c>
      <c r="D164" s="4">
        <v>10</v>
      </c>
      <c r="E164" s="4">
        <v>40</v>
      </c>
      <c r="F164" s="4">
        <v>10.75</v>
      </c>
      <c r="G164" s="4">
        <v>0.36499999999999999</v>
      </c>
      <c r="H164" s="7">
        <v>23.3</v>
      </c>
      <c r="I164" s="11">
        <f>10^3*0.06894757*(2*H164*0.365)/(10.75*$C$152)</f>
        <v>109.09109005860465</v>
      </c>
      <c r="J164" s="7">
        <v>23.3</v>
      </c>
      <c r="K164" s="11">
        <f>10^3*0.06894757*(2*J164*0.365)/(10.75*$C$152)</f>
        <v>109.09109005860465</v>
      </c>
      <c r="L164" s="7">
        <v>23.3</v>
      </c>
      <c r="M164" s="11">
        <f>10^3*0.06894757*(2*L164*0.365)/(10.75*$C$152)</f>
        <v>109.09109005860465</v>
      </c>
      <c r="N164" s="7">
        <v>22.8</v>
      </c>
      <c r="O164" s="11">
        <f>10^3*0.06894757*(2*N164*0.365)/(10.75*$C$152)</f>
        <v>106.75007954232557</v>
      </c>
      <c r="P164" s="7">
        <v>21.7</v>
      </c>
      <c r="Q164" s="11">
        <f>10^3*0.06894757*(2*P164*0.365)/(10.75*$C$152)</f>
        <v>101.59985640651163</v>
      </c>
      <c r="R164" s="7">
        <v>20.399999999999999</v>
      </c>
      <c r="S164" s="11">
        <f>10^3*0.06894757*(2*R164*0.365)/(10.75*$C$152)</f>
        <v>95.513229064186035</v>
      </c>
      <c r="T164" s="7">
        <v>19.8</v>
      </c>
      <c r="U164" s="11">
        <f>10^3*0.06894757*(2*T164*0.365)/(10.75*$C$152)</f>
        <v>92.704016444651174</v>
      </c>
      <c r="V164" s="7">
        <v>18.3</v>
      </c>
      <c r="W164" s="11">
        <f>10^3*0.06894757*(2*V164*0.365)/(10.75*$C$152)</f>
        <v>85.68098489581395</v>
      </c>
      <c r="X164" s="7">
        <v>14.8</v>
      </c>
      <c r="Y164" s="11">
        <f>10^3*0.06894757*(2*X164*0.365)/(10.75*$C$152)</f>
        <v>69.29391128186046</v>
      </c>
      <c r="Z164" s="7">
        <v>12</v>
      </c>
      <c r="AA164" s="12">
        <f>10^3*0.06894757*(2*Z164*0.365)/(10.75*$C$152)</f>
        <v>56.184252390697672</v>
      </c>
    </row>
    <row r="165" spans="1:27" x14ac:dyDescent="0.25">
      <c r="A165" s="43"/>
      <c r="B165" s="45"/>
      <c r="C165" s="4">
        <v>1</v>
      </c>
      <c r="D165" s="4">
        <v>10</v>
      </c>
      <c r="E165" s="4">
        <v>80</v>
      </c>
      <c r="F165" s="4">
        <v>10.75</v>
      </c>
      <c r="G165" s="4">
        <v>0.59399999999999997</v>
      </c>
      <c r="H165" s="7">
        <v>23.3</v>
      </c>
      <c r="I165" s="11">
        <f>10^3*0.06894757*(2*H165*0.594)/(10.75*$C$153)</f>
        <v>177.5345410816744</v>
      </c>
      <c r="J165" s="7">
        <v>23.3</v>
      </c>
      <c r="K165" s="11">
        <f>10^3*0.06894757*(2*J165*0.594)/(10.75*$C$153)</f>
        <v>177.5345410816744</v>
      </c>
      <c r="L165" s="7">
        <v>23.3</v>
      </c>
      <c r="M165" s="11">
        <f>10^3*0.06894757*(2*L165*0.594)/(10.75*$C$153)</f>
        <v>177.5345410816744</v>
      </c>
      <c r="N165" s="7">
        <v>22.8</v>
      </c>
      <c r="O165" s="11">
        <f>10^3*0.06894757*(2*N165*0.594)/(10.75*$C$153)</f>
        <v>173.72478698120932</v>
      </c>
      <c r="P165" s="7">
        <v>21.7</v>
      </c>
      <c r="Q165" s="11">
        <f>10^3*0.06894757*(2*P165*0.594)/(10.75*$C$153)</f>
        <v>165.34332796018603</v>
      </c>
      <c r="R165" s="7">
        <v>20.399999999999999</v>
      </c>
      <c r="S165" s="11">
        <f>10^3*0.06894757*(2*R165*0.594)/(10.75*$C$153)</f>
        <v>155.43796729897673</v>
      </c>
      <c r="T165" s="7">
        <v>19.8</v>
      </c>
      <c r="U165" s="11">
        <f>10^3*0.06894757*(2*T165*0.594)/(10.75*$C$153)</f>
        <v>150.86626237841861</v>
      </c>
      <c r="V165" s="7">
        <v>18.3</v>
      </c>
      <c r="W165" s="11">
        <f>10^3*0.06894757*(2*V165*0.594)/(10.75*$C$153)</f>
        <v>139.43700007702327</v>
      </c>
      <c r="X165" s="7">
        <v>14.8</v>
      </c>
      <c r="Y165" s="11">
        <f>10^3*0.06894757*(2*X165*0.594)/(10.75*$C$153)</f>
        <v>112.76872137376743</v>
      </c>
      <c r="Z165" s="7">
        <v>12</v>
      </c>
      <c r="AA165" s="12">
        <f>10^3*0.06894757*(2*Z165*0.594)/(10.75*$C$153)</f>
        <v>91.434098411162779</v>
      </c>
    </row>
    <row r="166" spans="1:27" ht="16.5" thickBot="1" x14ac:dyDescent="0.3">
      <c r="A166" s="43"/>
      <c r="B166" s="46"/>
      <c r="C166" s="5">
        <v>1</v>
      </c>
      <c r="D166" s="5">
        <v>10</v>
      </c>
      <c r="E166" s="5">
        <v>160</v>
      </c>
      <c r="F166" s="4">
        <v>10.75</v>
      </c>
      <c r="G166" s="5">
        <v>1.125</v>
      </c>
      <c r="H166" s="8">
        <v>23.3</v>
      </c>
      <c r="I166" s="13">
        <f>10^3*0.06894757*(2*H166*1.125)/(10.75*$C$154)</f>
        <v>336.23966113953492</v>
      </c>
      <c r="J166" s="8">
        <v>23.3</v>
      </c>
      <c r="K166" s="13">
        <f>10^3*0.06894757*(2*J166*1.125)/(10.75*$C$154)</f>
        <v>336.23966113953492</v>
      </c>
      <c r="L166" s="8">
        <v>23.3</v>
      </c>
      <c r="M166" s="13">
        <f>10^3*0.06894757*(2*L166*1.125)/(10.75*$C$154)</f>
        <v>336.23966113953492</v>
      </c>
      <c r="N166" s="8">
        <v>22.8</v>
      </c>
      <c r="O166" s="13">
        <f>10^3*0.06894757*(2*N166*1.125)/(10.75*$C$154)</f>
        <v>329.02421776744188</v>
      </c>
      <c r="P166" s="8">
        <v>21.7</v>
      </c>
      <c r="Q166" s="13">
        <f>10^3*0.06894757*(2*P166*1.125)/(10.75*$C$154)</f>
        <v>313.15024234883714</v>
      </c>
      <c r="R166" s="8">
        <v>20.399999999999999</v>
      </c>
      <c r="S166" s="13">
        <f>10^3*0.06894757*(2*R166*1.125)/(10.75*$C$154)</f>
        <v>294.39008958139533</v>
      </c>
      <c r="T166" s="8">
        <v>19.8</v>
      </c>
      <c r="U166" s="13">
        <f>10^3*0.06894757*(2*T166*1.125)/(10.75*$C$154)</f>
        <v>285.73155753488373</v>
      </c>
      <c r="V166" s="8">
        <v>18.3</v>
      </c>
      <c r="W166" s="13">
        <f>10^3*0.06894757*(2*V166*1.125)/(10.75*$C$154)</f>
        <v>264.08522741860469</v>
      </c>
      <c r="X166" s="8">
        <v>14.8</v>
      </c>
      <c r="Y166" s="13">
        <f>10^3*0.06894757*(2*X166*1.125)/(10.75*$C$154)</f>
        <v>213.57712381395351</v>
      </c>
      <c r="Z166" s="8">
        <v>12</v>
      </c>
      <c r="AA166" s="14">
        <f>10^3*0.06894757*(2*Z166*1.125)/(10.75*$C$154)</f>
        <v>173.17064093023257</v>
      </c>
    </row>
    <row r="167" spans="1:27" x14ac:dyDescent="0.25">
      <c r="A167" s="43" t="s">
        <v>5</v>
      </c>
      <c r="B167" s="44" t="s">
        <v>2</v>
      </c>
      <c r="C167" s="3">
        <v>1</v>
      </c>
      <c r="D167" s="3">
        <v>12</v>
      </c>
      <c r="E167" s="3">
        <v>5</v>
      </c>
      <c r="F167" s="3">
        <v>12.75</v>
      </c>
      <c r="G167" s="3">
        <v>0.156</v>
      </c>
      <c r="H167" s="3">
        <v>16</v>
      </c>
      <c r="I167" s="9">
        <f>10^3*0.06894757*(2*H167*0.156)/(12.75*$C$167)</f>
        <v>26.995001524705881</v>
      </c>
      <c r="J167" s="3">
        <v>16</v>
      </c>
      <c r="K167" s="9">
        <f>10^3*0.06894757*(2*J167*0.156)/(12.75*$C$167)</f>
        <v>26.995001524705881</v>
      </c>
      <c r="L167" s="3">
        <v>16</v>
      </c>
      <c r="M167" s="9">
        <f>10^3*0.06894757*(2*L167*0.156)/(12.75*$C$167)</f>
        <v>26.995001524705881</v>
      </c>
      <c r="N167" s="3">
        <v>16</v>
      </c>
      <c r="O167" s="9">
        <f>10^3*0.06894757*(2*N167*0.156)/(12.75*$C$167)</f>
        <v>26.995001524705881</v>
      </c>
      <c r="P167" s="3">
        <v>16</v>
      </c>
      <c r="Q167" s="9">
        <f>10^3*0.06894757*(2*P167*0.156)/(12.75*$C$167)</f>
        <v>26.995001524705881</v>
      </c>
      <c r="R167" s="3">
        <v>15.3</v>
      </c>
      <c r="S167" s="9">
        <f>10^3*0.06894757*(2*R167*0.156)/(12.75*$C$167)</f>
        <v>25.813970208000001</v>
      </c>
      <c r="T167" s="3">
        <v>14.6</v>
      </c>
      <c r="U167" s="9">
        <f>10^3*0.06894757*(2*T167*0.156)/(12.75*$C$167)</f>
        <v>24.632938891294121</v>
      </c>
      <c r="V167" s="3">
        <v>12.5</v>
      </c>
      <c r="W167" s="9">
        <f>10^3*0.06894757*(2*V167*0.156)/(12.75*$C$167)</f>
        <v>21.089844941176469</v>
      </c>
      <c r="X167" s="3">
        <v>10.7</v>
      </c>
      <c r="Y167" s="9">
        <f>10^3*0.06894757*(2*X167*0.156)/(12.75*$C$167)</f>
        <v>18.052907269647058</v>
      </c>
      <c r="Z167" s="3">
        <v>9.1999999999999993</v>
      </c>
      <c r="AA167" s="10">
        <f>10^3*0.06894757*(2*Z167*0.156)/(12.75*$C$167)</f>
        <v>15.52212587670588</v>
      </c>
    </row>
    <row r="168" spans="1:27" x14ac:dyDescent="0.25">
      <c r="A168" s="43"/>
      <c r="B168" s="45"/>
      <c r="C168" s="4">
        <v>1</v>
      </c>
      <c r="D168" s="4">
        <v>12</v>
      </c>
      <c r="E168" s="4">
        <v>10</v>
      </c>
      <c r="F168" s="4">
        <v>12.75</v>
      </c>
      <c r="G168" s="4">
        <v>0.18</v>
      </c>
      <c r="H168" s="4">
        <v>16</v>
      </c>
      <c r="I168" s="11">
        <f>10^3*0.06894757*(2*H168*0.18)/(12.75*$C$168)</f>
        <v>31.148078682352939</v>
      </c>
      <c r="J168" s="4">
        <v>16</v>
      </c>
      <c r="K168" s="11">
        <f>10^3*0.06894757*(2*J168*0.18)/(12.75*$C$168)</f>
        <v>31.148078682352939</v>
      </c>
      <c r="L168" s="4">
        <v>16</v>
      </c>
      <c r="M168" s="11">
        <f>10^3*0.06894757*(2*L168*0.18)/(12.75*$C$168)</f>
        <v>31.148078682352939</v>
      </c>
      <c r="N168" s="4">
        <v>16</v>
      </c>
      <c r="O168" s="11">
        <f>10^3*0.06894757*(2*N168*0.18)/(12.75*$C$168)</f>
        <v>31.148078682352939</v>
      </c>
      <c r="P168" s="4">
        <v>16</v>
      </c>
      <c r="Q168" s="11">
        <f>10^3*0.06894757*(2*P168*0.18)/(12.75*$C$168)</f>
        <v>31.148078682352939</v>
      </c>
      <c r="R168" s="4">
        <v>15.3</v>
      </c>
      <c r="S168" s="11">
        <f>10^3*0.06894757*(2*R168*0.18)/(12.75*$C$168)</f>
        <v>29.78535024</v>
      </c>
      <c r="T168" s="4">
        <v>14.6</v>
      </c>
      <c r="U168" s="11">
        <f>10^3*0.06894757*(2*T168*0.18)/(12.75*$C$168)</f>
        <v>28.422621797647057</v>
      </c>
      <c r="V168" s="4">
        <v>12.5</v>
      </c>
      <c r="W168" s="11">
        <f>10^3*0.06894757*(2*V168*0.18)/(12.75*$C$168)</f>
        <v>24.334436470588237</v>
      </c>
      <c r="X168" s="4">
        <v>10.7</v>
      </c>
      <c r="Y168" s="11">
        <f>10^3*0.06894757*(2*X168*0.18)/(12.75*$C$168)</f>
        <v>20.830277618823526</v>
      </c>
      <c r="Z168" s="4">
        <v>9.1999999999999993</v>
      </c>
      <c r="AA168" s="12">
        <f>10^3*0.06894757*(2*Z168*0.18)/(12.75*$C$168)</f>
        <v>17.910145242352939</v>
      </c>
    </row>
    <row r="169" spans="1:27" x14ac:dyDescent="0.25">
      <c r="A169" s="43"/>
      <c r="B169" s="45"/>
      <c r="C169" s="4">
        <v>1</v>
      </c>
      <c r="D169" s="4">
        <v>12</v>
      </c>
      <c r="E169" s="4">
        <v>30</v>
      </c>
      <c r="F169" s="4">
        <v>12.75</v>
      </c>
      <c r="G169" s="4">
        <v>0.33</v>
      </c>
      <c r="H169" s="4">
        <v>16</v>
      </c>
      <c r="I169" s="11">
        <f>10^3*0.06894757*(2*H169*0.33)/(12.75*$C$169)</f>
        <v>57.104810917647058</v>
      </c>
      <c r="J169" s="4">
        <v>16</v>
      </c>
      <c r="K169" s="11">
        <f>10^3*0.06894757*(2*J169*0.33)/(12.75*$C$169)</f>
        <v>57.104810917647058</v>
      </c>
      <c r="L169" s="4">
        <v>16</v>
      </c>
      <c r="M169" s="11">
        <f>10^3*0.06894757*(2*L169*0.33)/(12.75*$C$169)</f>
        <v>57.104810917647058</v>
      </c>
      <c r="N169" s="4">
        <v>16</v>
      </c>
      <c r="O169" s="11">
        <f>10^3*0.06894757*(2*N169*0.33)/(12.75*$C$169)</f>
        <v>57.104810917647058</v>
      </c>
      <c r="P169" s="4">
        <v>16</v>
      </c>
      <c r="Q169" s="11">
        <f>10^3*0.06894757*(2*P169*0.33)/(12.75*$C$169)</f>
        <v>57.104810917647058</v>
      </c>
      <c r="R169" s="4">
        <v>15.3</v>
      </c>
      <c r="S169" s="11">
        <f>10^3*0.06894757*(2*R169*0.33)/(12.75*$C$169)</f>
        <v>54.606475440000004</v>
      </c>
      <c r="T169" s="4">
        <v>14.6</v>
      </c>
      <c r="U169" s="11">
        <f>10^3*0.06894757*(2*T169*0.33)/(12.75*$C$169)</f>
        <v>52.108139962352944</v>
      </c>
      <c r="V169" s="4">
        <v>12.5</v>
      </c>
      <c r="W169" s="11">
        <f>10^3*0.06894757*(2*V169*0.33)/(12.75*$C$169)</f>
        <v>44.613133529411762</v>
      </c>
      <c r="X169" s="4">
        <v>10.7</v>
      </c>
      <c r="Y169" s="11">
        <f>10^3*0.06894757*(2*X169*0.33)/(12.75*$C$169)</f>
        <v>38.188842301176471</v>
      </c>
      <c r="Z169" s="4">
        <v>9.1999999999999993</v>
      </c>
      <c r="AA169" s="12">
        <f>10^3*0.06894757*(2*Z169*0.33)/(12.75*$C$169)</f>
        <v>32.835266277647058</v>
      </c>
    </row>
    <row r="170" spans="1:27" x14ac:dyDescent="0.25">
      <c r="A170" s="43"/>
      <c r="B170" s="45"/>
      <c r="C170" s="4">
        <v>1</v>
      </c>
      <c r="D170" s="4">
        <v>12</v>
      </c>
      <c r="E170" s="4">
        <v>40</v>
      </c>
      <c r="F170" s="4">
        <v>12.75</v>
      </c>
      <c r="G170" s="4">
        <v>0.40600000000000003</v>
      </c>
      <c r="H170" s="4">
        <v>16</v>
      </c>
      <c r="I170" s="11">
        <f>10^3*0.06894757*(2*H170*0.406)/(12.75*$C$170)</f>
        <v>70.256221916862742</v>
      </c>
      <c r="J170" s="4">
        <v>16</v>
      </c>
      <c r="K170" s="11">
        <f>10^3*0.06894757*(2*J170*0.406)/(12.75*$C$170)</f>
        <v>70.256221916862742</v>
      </c>
      <c r="L170" s="4">
        <v>16</v>
      </c>
      <c r="M170" s="11">
        <f>10^3*0.06894757*(2*L170*0.406)/(12.75*$C$170)</f>
        <v>70.256221916862742</v>
      </c>
      <c r="N170" s="4">
        <v>16</v>
      </c>
      <c r="O170" s="11">
        <f>10^3*0.06894757*(2*N170*0.406)/(12.75*$C$170)</f>
        <v>70.256221916862742</v>
      </c>
      <c r="P170" s="4">
        <v>16</v>
      </c>
      <c r="Q170" s="11">
        <f>10^3*0.06894757*(2*P170*0.406)/(12.75*$C$170)</f>
        <v>70.256221916862742</v>
      </c>
      <c r="R170" s="4">
        <v>15.3</v>
      </c>
      <c r="S170" s="11">
        <f>10^3*0.06894757*(2*R170*0.406)/(12.75*$C$170)</f>
        <v>67.18251220800002</v>
      </c>
      <c r="T170" s="4">
        <v>14.6</v>
      </c>
      <c r="U170" s="11">
        <f>10^3*0.06894757*(2*T170*0.406)/(12.75*$C$170)</f>
        <v>64.108802499137255</v>
      </c>
      <c r="V170" s="4">
        <v>12.5</v>
      </c>
      <c r="W170" s="11">
        <f>10^3*0.06894757*(2*V170*0.406)/(12.75*$C$170)</f>
        <v>54.887673372549017</v>
      </c>
      <c r="X170" s="4">
        <v>10.7</v>
      </c>
      <c r="Y170" s="11">
        <f>10^3*0.06894757*(2*X170*0.406)/(12.75*$C$170)</f>
        <v>46.983848406901963</v>
      </c>
      <c r="Z170" s="4">
        <v>9.1999999999999993</v>
      </c>
      <c r="AA170" s="12">
        <f>10^3*0.06894757*(2*Z170*0.406)/(12.75*$C$170)</f>
        <v>40.397327602196071</v>
      </c>
    </row>
    <row r="171" spans="1:27" x14ac:dyDescent="0.25">
      <c r="A171" s="43"/>
      <c r="B171" s="45"/>
      <c r="C171" s="4">
        <v>1</v>
      </c>
      <c r="D171" s="4">
        <v>12</v>
      </c>
      <c r="E171" s="4">
        <v>80</v>
      </c>
      <c r="F171" s="4">
        <v>12.75</v>
      </c>
      <c r="G171" s="4">
        <v>0.68799999999999994</v>
      </c>
      <c r="H171" s="4">
        <v>16</v>
      </c>
      <c r="I171" s="11">
        <f>10^3*0.06894757*(2*H171*0.688)/(12.75*$C$171)</f>
        <v>119.05487851921568</v>
      </c>
      <c r="J171" s="4">
        <v>16</v>
      </c>
      <c r="K171" s="11">
        <f>10^3*0.06894757*(2*J171*0.688)/(12.75*$C$171)</f>
        <v>119.05487851921568</v>
      </c>
      <c r="L171" s="4">
        <v>16</v>
      </c>
      <c r="M171" s="11">
        <f>10^3*0.06894757*(2*L171*0.688)/(12.75*$C$171)</f>
        <v>119.05487851921568</v>
      </c>
      <c r="N171" s="4">
        <v>16</v>
      </c>
      <c r="O171" s="11">
        <f>10^3*0.06894757*(2*N171*0.688)/(12.75*$C$171)</f>
        <v>119.05487851921568</v>
      </c>
      <c r="P171" s="4">
        <v>16</v>
      </c>
      <c r="Q171" s="11">
        <f>10^3*0.06894757*(2*P171*0.688)/(12.75*$C$171)</f>
        <v>119.05487851921568</v>
      </c>
      <c r="R171" s="4">
        <v>15.3</v>
      </c>
      <c r="S171" s="11">
        <f>10^3*0.06894757*(2*R171*0.688)/(12.75*$C$171)</f>
        <v>113.84622758399999</v>
      </c>
      <c r="T171" s="4">
        <v>14.6</v>
      </c>
      <c r="U171" s="11">
        <f>10^3*0.06894757*(2*T171*0.688)/(12.75*$C$171)</f>
        <v>108.63757664878429</v>
      </c>
      <c r="V171" s="4">
        <v>12.5</v>
      </c>
      <c r="W171" s="11">
        <f>10^3*0.06894757*(2*V171*0.688)/(12.75*$C$171)</f>
        <v>93.011623843137244</v>
      </c>
      <c r="X171" s="4">
        <v>10.7</v>
      </c>
      <c r="Y171" s="11">
        <f>10^3*0.06894757*(2*X171*0.688)/(12.75*$C$171)</f>
        <v>79.617950009725476</v>
      </c>
      <c r="Z171" s="4">
        <v>9.1999999999999993</v>
      </c>
      <c r="AA171" s="12">
        <f>10^3*0.06894757*(2*Z171*0.688)/(12.75*$C$171)</f>
        <v>68.456555148549015</v>
      </c>
    </row>
    <row r="172" spans="1:27" ht="16.5" thickBot="1" x14ac:dyDescent="0.3">
      <c r="A172" s="43"/>
      <c r="B172" s="46"/>
      <c r="C172" s="5">
        <v>1</v>
      </c>
      <c r="D172" s="5">
        <v>12</v>
      </c>
      <c r="E172" s="5">
        <v>160</v>
      </c>
      <c r="F172" s="5">
        <v>12.75</v>
      </c>
      <c r="G172" s="5">
        <v>1.3120000000000001</v>
      </c>
      <c r="H172" s="5">
        <v>16</v>
      </c>
      <c r="I172" s="13">
        <f>10^3*0.06894757*(2*H172*1.312)/(12.75*$C$172)</f>
        <v>227.03488461803923</v>
      </c>
      <c r="J172" s="5">
        <v>16</v>
      </c>
      <c r="K172" s="13">
        <f>10^3*0.06894757*(2*J172*1.312)/(12.75*$C$172)</f>
        <v>227.03488461803923</v>
      </c>
      <c r="L172" s="5">
        <v>16</v>
      </c>
      <c r="M172" s="13">
        <f>10^3*0.06894757*(2*L172*1.312)/(12.75*$C$172)</f>
        <v>227.03488461803923</v>
      </c>
      <c r="N172" s="5">
        <v>16</v>
      </c>
      <c r="O172" s="13">
        <f>10^3*0.06894757*(2*N172*1.312)/(12.75*$C$172)</f>
        <v>227.03488461803923</v>
      </c>
      <c r="P172" s="5">
        <v>16</v>
      </c>
      <c r="Q172" s="13">
        <f>10^3*0.06894757*(2*P172*1.312)/(12.75*$C$172)</f>
        <v>227.03488461803923</v>
      </c>
      <c r="R172" s="5">
        <v>15.3</v>
      </c>
      <c r="S172" s="13">
        <f>10^3*0.06894757*(2*R172*1.312)/(12.75*$C$172)</f>
        <v>217.10210841600002</v>
      </c>
      <c r="T172" s="5">
        <v>14.6</v>
      </c>
      <c r="U172" s="13">
        <f>10^3*0.06894757*(2*T172*1.312)/(12.75*$C$172)</f>
        <v>207.16933221396079</v>
      </c>
      <c r="V172" s="5">
        <v>12.5</v>
      </c>
      <c r="W172" s="13">
        <f>10^3*0.06894757*(2*V172*1.312)/(12.75*$C$172)</f>
        <v>177.37100360784316</v>
      </c>
      <c r="X172" s="5">
        <v>10.7</v>
      </c>
      <c r="Y172" s="13">
        <f>10^3*0.06894757*(2*X172*1.312)/(12.75*$C$172)</f>
        <v>151.82957908831372</v>
      </c>
      <c r="Z172" s="5">
        <v>9.1999999999999993</v>
      </c>
      <c r="AA172" s="14">
        <f>10^3*0.06894757*(2*Z172*1.312)/(12.75*$C$172)</f>
        <v>130.54505865537254</v>
      </c>
    </row>
    <row r="173" spans="1:27" x14ac:dyDescent="0.25">
      <c r="A173" s="43"/>
      <c r="B173" s="44" t="s">
        <v>1</v>
      </c>
      <c r="C173" s="3">
        <v>1</v>
      </c>
      <c r="D173" s="3">
        <v>12</v>
      </c>
      <c r="E173" s="3">
        <v>5</v>
      </c>
      <c r="F173" s="19">
        <v>12.75</v>
      </c>
      <c r="G173" s="3">
        <v>0.156</v>
      </c>
      <c r="H173" s="3">
        <v>20</v>
      </c>
      <c r="I173" s="9">
        <f>10^3*0.06894757*(2*H173*0.156)/(12.75*$C$167)</f>
        <v>33.743751905882355</v>
      </c>
      <c r="J173" s="3">
        <v>20</v>
      </c>
      <c r="K173" s="9">
        <f>10^3*0.06894757*(2*J173*0.156)/(12.75*$C$167)</f>
        <v>33.743751905882355</v>
      </c>
      <c r="L173" s="3">
        <v>20</v>
      </c>
      <c r="M173" s="9">
        <f>10^3*0.06894757*(2*L173*0.156)/(12.75*$C$167)</f>
        <v>33.743751905882355</v>
      </c>
      <c r="N173" s="3">
        <v>19.899999999999999</v>
      </c>
      <c r="O173" s="9">
        <f>10^3*0.06894757*(2*N173*0.156)/(12.75*$C$167)</f>
        <v>33.575033146352936</v>
      </c>
      <c r="P173" s="3">
        <v>19</v>
      </c>
      <c r="Q173" s="9">
        <f>10^3*0.06894757*(2*P173*0.156)/(12.75*$C$167)</f>
        <v>32.056564310588236</v>
      </c>
      <c r="R173" s="3">
        <v>17.899999999999999</v>
      </c>
      <c r="S173" s="9">
        <f>10^3*0.06894757*(2*R173*0.156)/(12.75*$C$167)</f>
        <v>30.200657955764704</v>
      </c>
      <c r="T173" s="3">
        <v>17.3</v>
      </c>
      <c r="U173" s="9">
        <f>10^3*0.06894757*(2*T173*0.156)/(12.75*$C$167)</f>
        <v>29.188345398588236</v>
      </c>
      <c r="V173" s="3">
        <v>16.7</v>
      </c>
      <c r="W173" s="9">
        <f>10^3*0.06894757*(2*V173*0.156)/(12.75*$C$167)</f>
        <v>28.176032841411761</v>
      </c>
      <c r="X173" s="3">
        <v>13.9</v>
      </c>
      <c r="Y173" s="9">
        <f>10^3*0.06894757*(2*X173*0.156)/(12.75*$C$167)</f>
        <v>23.451907574588233</v>
      </c>
      <c r="Z173" s="3">
        <v>11.4</v>
      </c>
      <c r="AA173" s="10">
        <f>10^3*0.06894757*(2*Z173*0.156)/(12.75*$C$167)</f>
        <v>19.233938586352942</v>
      </c>
    </row>
    <row r="174" spans="1:27" x14ac:dyDescent="0.25">
      <c r="A174" s="43"/>
      <c r="B174" s="45"/>
      <c r="C174" s="4">
        <v>1</v>
      </c>
      <c r="D174" s="4">
        <v>12</v>
      </c>
      <c r="E174" s="4">
        <v>10</v>
      </c>
      <c r="F174" s="4">
        <v>12.75</v>
      </c>
      <c r="G174" s="4">
        <v>0.18</v>
      </c>
      <c r="H174" s="4">
        <v>20</v>
      </c>
      <c r="I174" s="11">
        <f>10^3*0.06894757*(2*H174*0.18)/(12.75*$C$168)</f>
        <v>38.935098352941175</v>
      </c>
      <c r="J174" s="4">
        <v>20</v>
      </c>
      <c r="K174" s="11">
        <f>10^3*0.06894757*(2*J174*0.18)/(12.75*$C$168)</f>
        <v>38.935098352941175</v>
      </c>
      <c r="L174" s="4">
        <v>20</v>
      </c>
      <c r="M174" s="11">
        <f>10^3*0.06894757*(2*L174*0.18)/(12.75*$C$168)</f>
        <v>38.935098352941175</v>
      </c>
      <c r="N174" s="4">
        <v>19.899999999999999</v>
      </c>
      <c r="O174" s="11">
        <f>10^3*0.06894757*(2*N174*0.18)/(12.75*$C$168)</f>
        <v>38.740422861176462</v>
      </c>
      <c r="P174" s="4">
        <v>19</v>
      </c>
      <c r="Q174" s="11">
        <f>10^3*0.06894757*(2*P174*0.18)/(12.75*$C$168)</f>
        <v>36.988343435294112</v>
      </c>
      <c r="R174" s="4">
        <v>17.899999999999999</v>
      </c>
      <c r="S174" s="11">
        <f>10^3*0.06894757*(2*R174*0.18)/(12.75*$C$168)</f>
        <v>34.846913025882351</v>
      </c>
      <c r="T174" s="4">
        <v>17.3</v>
      </c>
      <c r="U174" s="11">
        <f>10^3*0.06894757*(2*T174*0.18)/(12.75*$C$168)</f>
        <v>33.678860075294118</v>
      </c>
      <c r="V174" s="4">
        <v>16.7</v>
      </c>
      <c r="W174" s="11">
        <f>10^3*0.06894757*(2*V174*0.18)/(12.75*$C$168)</f>
        <v>32.510807124705877</v>
      </c>
      <c r="X174" s="4">
        <v>13.9</v>
      </c>
      <c r="Y174" s="11">
        <f>10^3*0.06894757*(2*X174*0.18)/(12.75*$C$168)</f>
        <v>27.059893355294115</v>
      </c>
      <c r="Z174" s="4">
        <v>11.4</v>
      </c>
      <c r="AA174" s="12">
        <f>10^3*0.06894757*(2*Z174*0.18)/(12.75*$C$168)</f>
        <v>22.193006061176469</v>
      </c>
    </row>
    <row r="175" spans="1:27" x14ac:dyDescent="0.25">
      <c r="A175" s="43"/>
      <c r="B175" s="45"/>
      <c r="C175" s="4">
        <v>1</v>
      </c>
      <c r="D175" s="4">
        <v>12</v>
      </c>
      <c r="E175" s="4">
        <v>30</v>
      </c>
      <c r="F175" s="4">
        <v>12.75</v>
      </c>
      <c r="G175" s="4">
        <v>0.33</v>
      </c>
      <c r="H175" s="4">
        <v>20</v>
      </c>
      <c r="I175" s="11">
        <f>10^3*0.06894757*(2*H175*0.33)/(12.75*$C$169)</f>
        <v>71.381013647058822</v>
      </c>
      <c r="J175" s="4">
        <v>20</v>
      </c>
      <c r="K175" s="11">
        <f>10^3*0.06894757*(2*J175*0.33)/(12.75*$C$169)</f>
        <v>71.381013647058822</v>
      </c>
      <c r="L175" s="4">
        <v>20</v>
      </c>
      <c r="M175" s="11">
        <f>10^3*0.06894757*(2*L175*0.33)/(12.75*$C$169)</f>
        <v>71.381013647058822</v>
      </c>
      <c r="N175" s="4">
        <v>19.899999999999999</v>
      </c>
      <c r="O175" s="11">
        <f>10^3*0.06894757*(2*N175*0.33)/(12.75*$C$169)</f>
        <v>71.02410857882353</v>
      </c>
      <c r="P175" s="4">
        <v>19</v>
      </c>
      <c r="Q175" s="11">
        <f>10^3*0.06894757*(2*P175*0.33)/(12.75*$C$169)</f>
        <v>67.811962964705884</v>
      </c>
      <c r="R175" s="4">
        <v>17.899999999999999</v>
      </c>
      <c r="S175" s="11">
        <f>10^3*0.06894757*(2*R175*0.33)/(12.75*$C$169)</f>
        <v>63.886007214117647</v>
      </c>
      <c r="T175" s="4">
        <v>17.3</v>
      </c>
      <c r="U175" s="11">
        <f>10^3*0.06894757*(2*T175*0.33)/(12.75*$C$169)</f>
        <v>61.744576804705886</v>
      </c>
      <c r="V175" s="4">
        <v>16.7</v>
      </c>
      <c r="W175" s="11">
        <f>10^3*0.06894757*(2*V175*0.33)/(12.75*$C$169)</f>
        <v>59.603146395294118</v>
      </c>
      <c r="X175" s="4">
        <v>13.9</v>
      </c>
      <c r="Y175" s="11">
        <f>10^3*0.06894757*(2*X175*0.33)/(12.75*$C$169)</f>
        <v>49.60980448470589</v>
      </c>
      <c r="Z175" s="4">
        <v>11.4</v>
      </c>
      <c r="AA175" s="12">
        <f>10^3*0.06894757*(2*Z175*0.33)/(12.75*$C$169)</f>
        <v>40.687177778823532</v>
      </c>
    </row>
    <row r="176" spans="1:27" x14ac:dyDescent="0.25">
      <c r="A176" s="43"/>
      <c r="B176" s="45"/>
      <c r="C176" s="4">
        <v>1</v>
      </c>
      <c r="D176" s="4">
        <v>12</v>
      </c>
      <c r="E176" s="4">
        <v>40</v>
      </c>
      <c r="F176" s="4">
        <v>12.75</v>
      </c>
      <c r="G176" s="4">
        <v>0.40600000000000003</v>
      </c>
      <c r="H176" s="4">
        <v>20</v>
      </c>
      <c r="I176" s="11">
        <f>10^3*0.06894757*(2*H176*0.406)/(12.75*$C$170)</f>
        <v>87.820277396078438</v>
      </c>
      <c r="J176" s="4">
        <v>20</v>
      </c>
      <c r="K176" s="11">
        <f>10^3*0.06894757*(2*J176*0.406)/(12.75*$C$170)</f>
        <v>87.820277396078438</v>
      </c>
      <c r="L176" s="4">
        <v>20</v>
      </c>
      <c r="M176" s="11">
        <f>10^3*0.06894757*(2*L176*0.406)/(12.75*$C$170)</f>
        <v>87.820277396078438</v>
      </c>
      <c r="N176" s="4">
        <v>19.899999999999999</v>
      </c>
      <c r="O176" s="11">
        <f>10^3*0.06894757*(2*N176*0.406)/(12.75*$C$170)</f>
        <v>87.381176009098041</v>
      </c>
      <c r="P176" s="4">
        <v>19</v>
      </c>
      <c r="Q176" s="11">
        <f>10^3*0.06894757*(2*P176*0.406)/(12.75*$C$170)</f>
        <v>83.429263526274511</v>
      </c>
      <c r="R176" s="4">
        <v>17.899999999999999</v>
      </c>
      <c r="S176" s="11">
        <f>10^3*0.06894757*(2*R176*0.406)/(12.75*$C$170)</f>
        <v>78.5991482694902</v>
      </c>
      <c r="T176" s="4">
        <v>17.3</v>
      </c>
      <c r="U176" s="11">
        <f>10^3*0.06894757*(2*T176*0.406)/(12.75*$C$170)</f>
        <v>75.964539947607847</v>
      </c>
      <c r="V176" s="4">
        <v>16.7</v>
      </c>
      <c r="W176" s="11">
        <f>10^3*0.06894757*(2*V176*0.406)/(12.75*$C$170)</f>
        <v>73.329931625725493</v>
      </c>
      <c r="X176" s="4">
        <v>13.9</v>
      </c>
      <c r="Y176" s="11">
        <f>10^3*0.06894757*(2*X176*0.406)/(12.75*$C$170)</f>
        <v>61.035092790274511</v>
      </c>
      <c r="Z176" s="4">
        <v>11.4</v>
      </c>
      <c r="AA176" s="12">
        <f>10^3*0.06894757*(2*Z176*0.406)/(12.75*$C$170)</f>
        <v>50.057558115764699</v>
      </c>
    </row>
    <row r="177" spans="1:27" x14ac:dyDescent="0.25">
      <c r="A177" s="43"/>
      <c r="B177" s="45"/>
      <c r="C177" s="4">
        <v>1</v>
      </c>
      <c r="D177" s="4">
        <v>12</v>
      </c>
      <c r="E177" s="4">
        <v>80</v>
      </c>
      <c r="F177" s="4">
        <v>12.75</v>
      </c>
      <c r="G177" s="4">
        <v>0.68799999999999994</v>
      </c>
      <c r="H177" s="4">
        <v>20</v>
      </c>
      <c r="I177" s="11">
        <f>10^3*0.06894757*(2*H177*0.688)/(12.75*$C$171)</f>
        <v>148.81859814901958</v>
      </c>
      <c r="J177" s="4">
        <v>20</v>
      </c>
      <c r="K177" s="11">
        <f>10^3*0.06894757*(2*J177*0.688)/(12.75*$C$171)</f>
        <v>148.81859814901958</v>
      </c>
      <c r="L177" s="4">
        <v>20</v>
      </c>
      <c r="M177" s="11">
        <f>10^3*0.06894757*(2*L177*0.688)/(12.75*$C$171)</f>
        <v>148.81859814901958</v>
      </c>
      <c r="N177" s="4">
        <v>19.899999999999999</v>
      </c>
      <c r="O177" s="11">
        <f>10^3*0.06894757*(2*N177*0.688)/(12.75*$C$171)</f>
        <v>148.07450515827449</v>
      </c>
      <c r="P177" s="4">
        <v>19</v>
      </c>
      <c r="Q177" s="11">
        <f>10^3*0.06894757*(2*P177*0.688)/(12.75*$C$171)</f>
        <v>141.37766824156861</v>
      </c>
      <c r="R177" s="4">
        <v>17.899999999999999</v>
      </c>
      <c r="S177" s="11">
        <f>10^3*0.06894757*(2*R177*0.688)/(12.75*$C$171)</f>
        <v>133.1926453433725</v>
      </c>
      <c r="T177" s="4">
        <v>17.3</v>
      </c>
      <c r="U177" s="11">
        <f>10^3*0.06894757*(2*T177*0.688)/(12.75*$C$171)</f>
        <v>128.72808739890195</v>
      </c>
      <c r="V177" s="4">
        <v>16.7</v>
      </c>
      <c r="W177" s="11">
        <f>10^3*0.06894757*(2*V177*0.688)/(12.75*$C$171)</f>
        <v>124.26352945443136</v>
      </c>
      <c r="X177" s="4">
        <v>13.9</v>
      </c>
      <c r="Y177" s="11">
        <f>10^3*0.06894757*(2*X177*0.688)/(12.75*$C$171)</f>
        <v>103.42892571356863</v>
      </c>
      <c r="Z177" s="4">
        <v>11.4</v>
      </c>
      <c r="AA177" s="12">
        <f>10^3*0.06894757*(2*Z177*0.688)/(12.75*$C$171)</f>
        <v>84.826600944941177</v>
      </c>
    </row>
    <row r="178" spans="1:27" ht="16.5" thickBot="1" x14ac:dyDescent="0.3">
      <c r="A178" s="43"/>
      <c r="B178" s="46"/>
      <c r="C178" s="5">
        <v>1</v>
      </c>
      <c r="D178" s="5">
        <v>12</v>
      </c>
      <c r="E178" s="5">
        <v>160</v>
      </c>
      <c r="F178" s="5">
        <v>12.75</v>
      </c>
      <c r="G178" s="5">
        <v>1.3120000000000001</v>
      </c>
      <c r="H178" s="5">
        <v>20</v>
      </c>
      <c r="I178" s="13">
        <f>10^3*0.06894757*(2*H178*1.312)/(12.75*$C$172)</f>
        <v>283.79360577254903</v>
      </c>
      <c r="J178" s="5">
        <v>20</v>
      </c>
      <c r="K178" s="13">
        <f>10^3*0.06894757*(2*J178*1.312)/(12.75*$C$172)</f>
        <v>283.79360577254903</v>
      </c>
      <c r="L178" s="5">
        <v>20</v>
      </c>
      <c r="M178" s="13">
        <f>10^3*0.06894757*(2*L178*1.312)/(12.75*$C$172)</f>
        <v>283.79360577254903</v>
      </c>
      <c r="N178" s="5">
        <v>19.899999999999999</v>
      </c>
      <c r="O178" s="13">
        <f>10^3*0.06894757*(2*N178*1.312)/(12.75*$C$172)</f>
        <v>282.37463774368626</v>
      </c>
      <c r="P178" s="5">
        <v>19</v>
      </c>
      <c r="Q178" s="13">
        <f>10^3*0.06894757*(2*P178*1.312)/(12.75*$C$172)</f>
        <v>269.60392548392156</v>
      </c>
      <c r="R178" s="5">
        <v>17.899999999999999</v>
      </c>
      <c r="S178" s="13">
        <f>10^3*0.06894757*(2*R178*1.312)/(12.75*$C$172)</f>
        <v>253.99527716643138</v>
      </c>
      <c r="T178" s="5">
        <v>17.3</v>
      </c>
      <c r="U178" s="13">
        <f>10^3*0.06894757*(2*T178*1.312)/(12.75*$C$172)</f>
        <v>245.48146899325491</v>
      </c>
      <c r="V178" s="5">
        <v>16.7</v>
      </c>
      <c r="W178" s="13">
        <f>10^3*0.06894757*(2*V178*1.312)/(12.75*$C$172)</f>
        <v>236.96766082007844</v>
      </c>
      <c r="X178" s="5">
        <v>13.9</v>
      </c>
      <c r="Y178" s="13">
        <f>10^3*0.06894757*(2*X178*1.312)/(12.75*$C$172)</f>
        <v>197.23655601192161</v>
      </c>
      <c r="Z178" s="5">
        <v>11.4</v>
      </c>
      <c r="AA178" s="14">
        <f>10^3*0.06894757*(2*Z178*1.312)/(12.75*$C$172)</f>
        <v>161.76235529035293</v>
      </c>
    </row>
    <row r="179" spans="1:27" x14ac:dyDescent="0.25">
      <c r="A179" s="43"/>
      <c r="B179" s="44" t="s">
        <v>6</v>
      </c>
      <c r="C179" s="3">
        <v>1</v>
      </c>
      <c r="D179" s="3">
        <v>12</v>
      </c>
      <c r="E179" s="3">
        <v>5</v>
      </c>
      <c r="F179" s="19">
        <v>12.75</v>
      </c>
      <c r="G179" s="3">
        <v>0.156</v>
      </c>
      <c r="H179" s="6">
        <v>23.3</v>
      </c>
      <c r="I179" s="9">
        <f>10^3*0.06894757*(2*H179*0.156)/(12.75*$C$167)</f>
        <v>39.311470970352943</v>
      </c>
      <c r="J179" s="6">
        <v>23.3</v>
      </c>
      <c r="K179" s="9">
        <f>10^3*0.06894757*(2*J179*0.156)/(12.75*$C$167)</f>
        <v>39.311470970352943</v>
      </c>
      <c r="L179" s="6">
        <v>23.3</v>
      </c>
      <c r="M179" s="9">
        <f>10^3*0.06894757*(2*L179*0.156)/(12.75*$C$167)</f>
        <v>39.311470970352943</v>
      </c>
      <c r="N179" s="6">
        <v>22.8</v>
      </c>
      <c r="O179" s="9">
        <f>10^3*0.06894757*(2*N179*0.156)/(12.75*$C$167)</f>
        <v>38.467877172705883</v>
      </c>
      <c r="P179" s="6">
        <v>21.7</v>
      </c>
      <c r="Q179" s="9">
        <f>10^3*0.06894757*(2*P179*0.156)/(12.75*$C$167)</f>
        <v>36.611970817882344</v>
      </c>
      <c r="R179" s="6">
        <v>20.399999999999999</v>
      </c>
      <c r="S179" s="9">
        <f>10^3*0.06894757*(2*R179*0.156)/(12.75*$C$167)</f>
        <v>34.418626943999996</v>
      </c>
      <c r="T179" s="6">
        <v>19.8</v>
      </c>
      <c r="U179" s="9">
        <f>10^3*0.06894757*(2*T179*0.156)/(12.75*$C$167)</f>
        <v>33.406314386823531</v>
      </c>
      <c r="V179" s="6">
        <v>18.3</v>
      </c>
      <c r="W179" s="9">
        <f>10^3*0.06894757*(2*V179*0.156)/(12.75*$C$167)</f>
        <v>30.875532993882352</v>
      </c>
      <c r="X179" s="6">
        <v>14.8</v>
      </c>
      <c r="Y179" s="9">
        <f>10^3*0.06894757*(2*X179*0.156)/(12.75*$C$167)</f>
        <v>24.970376410352944</v>
      </c>
      <c r="Z179" s="6">
        <v>12</v>
      </c>
      <c r="AA179" s="10">
        <f>10^3*0.06894757*(2*Z179*0.156)/(12.75*$C$167)</f>
        <v>20.246251143529413</v>
      </c>
    </row>
    <row r="180" spans="1:27" x14ac:dyDescent="0.25">
      <c r="A180" s="43"/>
      <c r="B180" s="45"/>
      <c r="C180" s="4">
        <v>1</v>
      </c>
      <c r="D180" s="4">
        <v>12</v>
      </c>
      <c r="E180" s="4">
        <v>10</v>
      </c>
      <c r="F180" s="4">
        <v>12.75</v>
      </c>
      <c r="G180" s="4">
        <v>0.18</v>
      </c>
      <c r="H180" s="7">
        <v>23.3</v>
      </c>
      <c r="I180" s="11">
        <f>10^3*0.06894757*(2*H180*0.18)/(12.75*$C$168)</f>
        <v>45.359389581176472</v>
      </c>
      <c r="J180" s="7">
        <v>23.3</v>
      </c>
      <c r="K180" s="11">
        <f>10^3*0.06894757*(2*J180*0.18)/(12.75*$C$168)</f>
        <v>45.359389581176472</v>
      </c>
      <c r="L180" s="7">
        <v>23.3</v>
      </c>
      <c r="M180" s="11">
        <f>10^3*0.06894757*(2*L180*0.18)/(12.75*$C$168)</f>
        <v>45.359389581176472</v>
      </c>
      <c r="N180" s="7">
        <v>22.8</v>
      </c>
      <c r="O180" s="11">
        <f>10^3*0.06894757*(2*N180*0.18)/(12.75*$C$168)</f>
        <v>44.386012122352938</v>
      </c>
      <c r="P180" s="7">
        <v>21.7</v>
      </c>
      <c r="Q180" s="11">
        <f>10^3*0.06894757*(2*P180*0.18)/(12.75*$C$168)</f>
        <v>42.244581712941169</v>
      </c>
      <c r="R180" s="7">
        <v>20.399999999999999</v>
      </c>
      <c r="S180" s="11">
        <f>10^3*0.06894757*(2*R180*0.18)/(12.75*$C$168)</f>
        <v>39.713800319999997</v>
      </c>
      <c r="T180" s="7">
        <v>19.8</v>
      </c>
      <c r="U180" s="11">
        <f>10^3*0.06894757*(2*T180*0.18)/(12.75*$C$168)</f>
        <v>38.545747369411764</v>
      </c>
      <c r="V180" s="7">
        <v>18.3</v>
      </c>
      <c r="W180" s="11">
        <f>10^3*0.06894757*(2*V180*0.18)/(12.75*$C$168)</f>
        <v>35.625614992941173</v>
      </c>
      <c r="X180" s="7">
        <v>14.8</v>
      </c>
      <c r="Y180" s="11">
        <f>10^3*0.06894757*(2*X180*0.18)/(12.75*$C$168)</f>
        <v>28.811972781176472</v>
      </c>
      <c r="Z180" s="7">
        <v>12</v>
      </c>
      <c r="AA180" s="12">
        <f>10^3*0.06894757*(2*Z180*0.18)/(12.75*$C$168)</f>
        <v>23.361059011764709</v>
      </c>
    </row>
    <row r="181" spans="1:27" x14ac:dyDescent="0.25">
      <c r="A181" s="43"/>
      <c r="B181" s="45"/>
      <c r="C181" s="4">
        <v>1</v>
      </c>
      <c r="D181" s="4">
        <v>12</v>
      </c>
      <c r="E181" s="4">
        <v>30</v>
      </c>
      <c r="F181" s="4">
        <v>12.75</v>
      </c>
      <c r="G181" s="4">
        <v>0.33</v>
      </c>
      <c r="H181" s="7">
        <v>23.3</v>
      </c>
      <c r="I181" s="11">
        <f>10^3*0.06894757*(2*H181*0.33)/(12.75*$C$169)</f>
        <v>83.15888089882354</v>
      </c>
      <c r="J181" s="7">
        <v>23.3</v>
      </c>
      <c r="K181" s="11">
        <f>10^3*0.06894757*(2*J181*0.33)/(12.75*$C$169)</f>
        <v>83.15888089882354</v>
      </c>
      <c r="L181" s="7">
        <v>23.3</v>
      </c>
      <c r="M181" s="11">
        <f>10^3*0.06894757*(2*L181*0.33)/(12.75*$C$169)</f>
        <v>83.15888089882354</v>
      </c>
      <c r="N181" s="7">
        <v>22.8</v>
      </c>
      <c r="O181" s="11">
        <f>10^3*0.06894757*(2*N181*0.33)/(12.75*$C$169)</f>
        <v>81.374355557647064</v>
      </c>
      <c r="P181" s="7">
        <v>21.7</v>
      </c>
      <c r="Q181" s="11">
        <f>10^3*0.06894757*(2*P181*0.33)/(12.75*$C$169)</f>
        <v>77.448399807058834</v>
      </c>
      <c r="R181" s="7">
        <v>20.399999999999999</v>
      </c>
      <c r="S181" s="11">
        <f>10^3*0.06894757*(2*R181*0.33)/(12.75*$C$169)</f>
        <v>72.808633920000005</v>
      </c>
      <c r="T181" s="7">
        <v>19.8</v>
      </c>
      <c r="U181" s="11">
        <f>10^3*0.06894757*(2*T181*0.33)/(12.75*$C$169)</f>
        <v>70.667203510588237</v>
      </c>
      <c r="V181" s="7">
        <v>18.3</v>
      </c>
      <c r="W181" s="11">
        <f>10^3*0.06894757*(2*V181*0.33)/(12.75*$C$169)</f>
        <v>65.313627487058838</v>
      </c>
      <c r="X181" s="7">
        <v>14.8</v>
      </c>
      <c r="Y181" s="11">
        <f>10^3*0.06894757*(2*X181*0.33)/(12.75*$C$169)</f>
        <v>52.821950098823535</v>
      </c>
      <c r="Z181" s="7">
        <v>12</v>
      </c>
      <c r="AA181" s="12">
        <f>10^3*0.06894757*(2*Z181*0.33)/(12.75*$C$169)</f>
        <v>42.828608188235293</v>
      </c>
    </row>
    <row r="182" spans="1:27" x14ac:dyDescent="0.25">
      <c r="A182" s="43"/>
      <c r="B182" s="45"/>
      <c r="C182" s="4">
        <v>1</v>
      </c>
      <c r="D182" s="4">
        <v>12</v>
      </c>
      <c r="E182" s="4">
        <v>40</v>
      </c>
      <c r="F182" s="4">
        <v>12.75</v>
      </c>
      <c r="G182" s="4">
        <v>0.40600000000000003</v>
      </c>
      <c r="H182" s="7">
        <v>23.3</v>
      </c>
      <c r="I182" s="11">
        <f>10^3*0.06894757*(2*H182*0.406)/(12.75*$C$170)</f>
        <v>102.31062316643138</v>
      </c>
      <c r="J182" s="7">
        <v>23.3</v>
      </c>
      <c r="K182" s="11">
        <f>10^3*0.06894757*(2*J182*0.406)/(12.75*$C$170)</f>
        <v>102.31062316643138</v>
      </c>
      <c r="L182" s="7">
        <v>23.3</v>
      </c>
      <c r="M182" s="11">
        <f>10^3*0.06894757*(2*L182*0.406)/(12.75*$C$170)</f>
        <v>102.31062316643138</v>
      </c>
      <c r="N182" s="7">
        <v>22.8</v>
      </c>
      <c r="O182" s="11">
        <f>10^3*0.06894757*(2*N182*0.406)/(12.75*$C$170)</f>
        <v>100.1151162315294</v>
      </c>
      <c r="P182" s="7">
        <v>21.7</v>
      </c>
      <c r="Q182" s="11">
        <f>10^3*0.06894757*(2*P182*0.406)/(12.75*$C$170)</f>
        <v>95.285000974745088</v>
      </c>
      <c r="R182" s="7">
        <v>20.399999999999999</v>
      </c>
      <c r="S182" s="11">
        <f>10^3*0.06894757*(2*R182*0.406)/(12.75*$C$170)</f>
        <v>89.576682943999984</v>
      </c>
      <c r="T182" s="7">
        <v>19.8</v>
      </c>
      <c r="U182" s="11">
        <f>10^3*0.06894757*(2*T182*0.406)/(12.75*$C$170)</f>
        <v>86.942074622117659</v>
      </c>
      <c r="V182" s="7">
        <v>18.3</v>
      </c>
      <c r="W182" s="11">
        <f>10^3*0.06894757*(2*V182*0.406)/(12.75*$C$170)</f>
        <v>80.355553817411774</v>
      </c>
      <c r="X182" s="7">
        <v>14.8</v>
      </c>
      <c r="Y182" s="11">
        <f>10^3*0.06894757*(2*X182*0.406)/(12.75*$C$170)</f>
        <v>64.987005273098049</v>
      </c>
      <c r="Z182" s="7">
        <v>12</v>
      </c>
      <c r="AA182" s="12">
        <f>10^3*0.06894757*(2*Z182*0.406)/(12.75*$C$170)</f>
        <v>52.69216643764706</v>
      </c>
    </row>
    <row r="183" spans="1:27" x14ac:dyDescent="0.25">
      <c r="A183" s="43"/>
      <c r="B183" s="45"/>
      <c r="C183" s="4">
        <v>1</v>
      </c>
      <c r="D183" s="4">
        <v>12</v>
      </c>
      <c r="E183" s="4">
        <v>80</v>
      </c>
      <c r="F183" s="4">
        <v>12.75</v>
      </c>
      <c r="G183" s="4">
        <v>0.68799999999999994</v>
      </c>
      <c r="H183" s="7">
        <v>23.3</v>
      </c>
      <c r="I183" s="11">
        <f>10^3*0.06894757*(2*H183*0.688)/(12.75*$C$171)</f>
        <v>173.37366684360785</v>
      </c>
      <c r="J183" s="7">
        <v>23.3</v>
      </c>
      <c r="K183" s="11">
        <f>10^3*0.06894757*(2*J183*0.688)/(12.75*$C$171)</f>
        <v>173.37366684360785</v>
      </c>
      <c r="L183" s="7">
        <v>23.3</v>
      </c>
      <c r="M183" s="11">
        <f>10^3*0.06894757*(2*L183*0.688)/(12.75*$C$171)</f>
        <v>173.37366684360785</v>
      </c>
      <c r="N183" s="7">
        <v>22.8</v>
      </c>
      <c r="O183" s="11">
        <f>10^3*0.06894757*(2*N183*0.688)/(12.75*$C$171)</f>
        <v>169.65320188988235</v>
      </c>
      <c r="P183" s="7">
        <v>21.7</v>
      </c>
      <c r="Q183" s="11">
        <f>10^3*0.06894757*(2*P183*0.688)/(12.75*$C$171)</f>
        <v>161.46817899168627</v>
      </c>
      <c r="R183" s="7">
        <v>20.399999999999999</v>
      </c>
      <c r="S183" s="11">
        <f>10^3*0.06894757*(2*R183*0.688)/(12.75*$C$171)</f>
        <v>151.79497011199996</v>
      </c>
      <c r="T183" s="7">
        <v>19.8</v>
      </c>
      <c r="U183" s="11">
        <f>10^3*0.06894757*(2*T183*0.688)/(12.75*$C$171)</f>
        <v>147.3304121675294</v>
      </c>
      <c r="V183" s="7">
        <v>18.3</v>
      </c>
      <c r="W183" s="11">
        <f>10^3*0.06894757*(2*V183*0.688)/(12.75*$C$171)</f>
        <v>136.16901730635294</v>
      </c>
      <c r="X183" s="7">
        <v>14.8</v>
      </c>
      <c r="Y183" s="11">
        <f>10^3*0.06894757*(2*X183*0.688)/(12.75*$C$171)</f>
        <v>110.12576263027451</v>
      </c>
      <c r="Z183" s="7">
        <v>12</v>
      </c>
      <c r="AA183" s="12">
        <f>10^3*0.06894757*(2*Z183*0.688)/(12.75*$C$171)</f>
        <v>89.291158889411776</v>
      </c>
    </row>
    <row r="184" spans="1:27" ht="16.5" thickBot="1" x14ac:dyDescent="0.3">
      <c r="A184" s="43"/>
      <c r="B184" s="46"/>
      <c r="C184" s="5">
        <v>1</v>
      </c>
      <c r="D184" s="5">
        <v>12</v>
      </c>
      <c r="E184" s="5">
        <v>160</v>
      </c>
      <c r="F184" s="4">
        <v>12.75</v>
      </c>
      <c r="G184" s="5">
        <v>1.3120000000000001</v>
      </c>
      <c r="H184" s="8">
        <v>23.3</v>
      </c>
      <c r="I184" s="13">
        <f>10^3*0.06894757*(2*H184*1.312)/(12.75*$C$172)</f>
        <v>330.61955072501968</v>
      </c>
      <c r="J184" s="8">
        <v>23.3</v>
      </c>
      <c r="K184" s="13">
        <f>10^3*0.06894757*(2*J184*1.312)/(12.75*$C$172)</f>
        <v>330.61955072501968</v>
      </c>
      <c r="L184" s="8">
        <v>23.3</v>
      </c>
      <c r="M184" s="13">
        <f>10^3*0.06894757*(2*L184*1.312)/(12.75*$C$172)</f>
        <v>330.61955072501968</v>
      </c>
      <c r="N184" s="8">
        <v>22.8</v>
      </c>
      <c r="O184" s="13">
        <f>10^3*0.06894757*(2*N184*1.312)/(12.75*$C$172)</f>
        <v>323.52471058070586</v>
      </c>
      <c r="P184" s="8">
        <v>21.7</v>
      </c>
      <c r="Q184" s="13">
        <f>10^3*0.06894757*(2*P184*1.312)/(12.75*$C$172)</f>
        <v>307.91606226321574</v>
      </c>
      <c r="R184" s="8">
        <v>20.399999999999999</v>
      </c>
      <c r="S184" s="13">
        <f>10^3*0.06894757*(2*R184*1.312)/(12.75*$C$172)</f>
        <v>289.46947788800003</v>
      </c>
      <c r="T184" s="8">
        <v>19.8</v>
      </c>
      <c r="U184" s="13">
        <f>10^3*0.06894757*(2*T184*1.312)/(12.75*$C$172)</f>
        <v>280.95566971482356</v>
      </c>
      <c r="V184" s="8">
        <v>18.3</v>
      </c>
      <c r="W184" s="13">
        <f>10^3*0.06894757*(2*V184*1.312)/(12.75*$C$172)</f>
        <v>259.67114928188238</v>
      </c>
      <c r="X184" s="8">
        <v>14.8</v>
      </c>
      <c r="Y184" s="13">
        <f>10^3*0.06894757*(2*X184*1.312)/(12.75*$C$172)</f>
        <v>210.00726827168629</v>
      </c>
      <c r="Z184" s="8">
        <v>12</v>
      </c>
      <c r="AA184" s="14">
        <f>10^3*0.06894757*(2*Z184*1.312)/(12.75*$C$172)</f>
        <v>170.27616346352943</v>
      </c>
    </row>
    <row r="185" spans="1:27" x14ac:dyDescent="0.25">
      <c r="A185" s="43" t="s">
        <v>5</v>
      </c>
      <c r="B185" s="44" t="s">
        <v>2</v>
      </c>
      <c r="C185" s="3">
        <v>1</v>
      </c>
      <c r="D185" s="3">
        <v>14</v>
      </c>
      <c r="E185" s="3">
        <v>5</v>
      </c>
      <c r="F185" s="3">
        <v>14</v>
      </c>
      <c r="G185" s="3">
        <v>0.156</v>
      </c>
      <c r="H185" s="3">
        <v>16</v>
      </c>
      <c r="I185" s="9">
        <f>10^3*0.06894757*(2*H185*0.156)/(14*$C$185)</f>
        <v>24.584733531428572</v>
      </c>
      <c r="J185" s="3">
        <v>16</v>
      </c>
      <c r="K185" s="9">
        <f>10^3*0.06894757*(2*J185*0.156)/(14*$C$185)</f>
        <v>24.584733531428572</v>
      </c>
      <c r="L185" s="3">
        <v>16</v>
      </c>
      <c r="M185" s="9">
        <f>10^3*0.06894757*(2*L185*0.156)/(14*$C$185)</f>
        <v>24.584733531428572</v>
      </c>
      <c r="N185" s="3">
        <v>16</v>
      </c>
      <c r="O185" s="9">
        <f>10^3*0.06894757*(2*N185*0.156)/(14*$C$185)</f>
        <v>24.584733531428572</v>
      </c>
      <c r="P185" s="3">
        <v>16</v>
      </c>
      <c r="Q185" s="9">
        <f>10^3*0.06894757*(2*P185*0.156)/(14*$C$185)</f>
        <v>24.584733531428572</v>
      </c>
      <c r="R185" s="3">
        <v>15.3</v>
      </c>
      <c r="S185" s="9">
        <f>10^3*0.06894757*(2*R185*0.156)/(14*$C$185)</f>
        <v>23.509151439428571</v>
      </c>
      <c r="T185" s="3">
        <v>14.6</v>
      </c>
      <c r="U185" s="9">
        <f>10^3*0.06894757*(2*T185*0.156)/(14*$C$185)</f>
        <v>22.433569347428573</v>
      </c>
      <c r="V185" s="3">
        <v>12.5</v>
      </c>
      <c r="W185" s="9">
        <f>10^3*0.06894757*(2*V185*0.156)/(14*$C$185)</f>
        <v>19.20682307142857</v>
      </c>
      <c r="X185" s="3">
        <v>10.7</v>
      </c>
      <c r="Y185" s="9">
        <f>10^3*0.06894757*(2*X185*0.156)/(14*$C$185)</f>
        <v>16.441040549142855</v>
      </c>
      <c r="Z185" s="3">
        <v>9.1999999999999993</v>
      </c>
      <c r="AA185" s="10">
        <f>10^3*0.06894757*(2*Z185*0.156)/(14*$C$185)</f>
        <v>14.136221780571427</v>
      </c>
    </row>
    <row r="186" spans="1:27" x14ac:dyDescent="0.25">
      <c r="A186" s="43"/>
      <c r="B186" s="45"/>
      <c r="C186" s="4">
        <v>1</v>
      </c>
      <c r="D186" s="4">
        <v>14</v>
      </c>
      <c r="E186" s="4">
        <v>10</v>
      </c>
      <c r="F186" s="4">
        <v>14</v>
      </c>
      <c r="G186" s="4">
        <v>0.25</v>
      </c>
      <c r="H186" s="4">
        <v>16</v>
      </c>
      <c r="I186" s="11">
        <f>10^3*0.06894757*(2*H186*0.25)/(14*$C$186)</f>
        <v>39.398611428571428</v>
      </c>
      <c r="J186" s="4">
        <v>16</v>
      </c>
      <c r="K186" s="11">
        <f>10^3*0.06894757*(2*J186*0.25)/(14*$C$186)</f>
        <v>39.398611428571428</v>
      </c>
      <c r="L186" s="4">
        <v>16</v>
      </c>
      <c r="M186" s="11">
        <f>10^3*0.06894757*(2*L186*0.25)/(14*$C$186)</f>
        <v>39.398611428571428</v>
      </c>
      <c r="N186" s="4">
        <v>16</v>
      </c>
      <c r="O186" s="11">
        <f>10^3*0.06894757*(2*N186*0.25)/(14*$C$186)</f>
        <v>39.398611428571428</v>
      </c>
      <c r="P186" s="4">
        <v>16</v>
      </c>
      <c r="Q186" s="11">
        <f>10^3*0.06894757*(2*P186*0.25)/(14*$C$186)</f>
        <v>39.398611428571428</v>
      </c>
      <c r="R186" s="4">
        <v>15.3</v>
      </c>
      <c r="S186" s="11">
        <f>10^3*0.06894757*(2*R186*0.25)/(14*$C$186)</f>
        <v>37.674922178571428</v>
      </c>
      <c r="T186" s="4">
        <v>14.6</v>
      </c>
      <c r="U186" s="11">
        <f>10^3*0.06894757*(2*T186*0.25)/(14*$C$186)</f>
        <v>35.951232928571429</v>
      </c>
      <c r="V186" s="4">
        <v>12.5</v>
      </c>
      <c r="W186" s="11">
        <f>10^3*0.06894757*(2*V186*0.25)/(14*$C$186)</f>
        <v>30.780165178571426</v>
      </c>
      <c r="X186" s="4">
        <v>10.7</v>
      </c>
      <c r="Y186" s="11">
        <f>10^3*0.06894757*(2*X186*0.25)/(14*$C$186)</f>
        <v>26.347821392857139</v>
      </c>
      <c r="Z186" s="4">
        <v>9.1999999999999993</v>
      </c>
      <c r="AA186" s="12">
        <f>10^3*0.06894757*(2*Z186*0.25)/(14*$C$186)</f>
        <v>22.654201571428569</v>
      </c>
    </row>
    <row r="187" spans="1:27" x14ac:dyDescent="0.25">
      <c r="A187" s="43"/>
      <c r="B187" s="45"/>
      <c r="C187" s="4">
        <v>1</v>
      </c>
      <c r="D187" s="4">
        <v>14</v>
      </c>
      <c r="E187" s="4">
        <v>30</v>
      </c>
      <c r="F187" s="4">
        <v>14</v>
      </c>
      <c r="G187" s="4">
        <v>0.375</v>
      </c>
      <c r="H187" s="4">
        <v>16</v>
      </c>
      <c r="I187" s="11">
        <f>10^3*0.06894757*(2*H187*0.375)/(14*$C$187)</f>
        <v>59.097917142857149</v>
      </c>
      <c r="J187" s="4">
        <v>16</v>
      </c>
      <c r="K187" s="11">
        <f>10^3*0.06894757*(2*J187*0.375)/(14*$C$187)</f>
        <v>59.097917142857149</v>
      </c>
      <c r="L187" s="4">
        <v>16</v>
      </c>
      <c r="M187" s="11">
        <f>10^3*0.06894757*(2*L187*0.375)/(14*$C$187)</f>
        <v>59.097917142857149</v>
      </c>
      <c r="N187" s="4">
        <v>16</v>
      </c>
      <c r="O187" s="11">
        <f>10^3*0.06894757*(2*N187*0.375)/(14*$C$187)</f>
        <v>59.097917142857149</v>
      </c>
      <c r="P187" s="4">
        <v>16</v>
      </c>
      <c r="Q187" s="11">
        <f>10^3*0.06894757*(2*P187*0.375)/(14*$C$187)</f>
        <v>59.097917142857149</v>
      </c>
      <c r="R187" s="4">
        <v>15.3</v>
      </c>
      <c r="S187" s="11">
        <f>10^3*0.06894757*(2*R187*0.375)/(14*$C$187)</f>
        <v>56.512383267857153</v>
      </c>
      <c r="T187" s="4">
        <v>14.6</v>
      </c>
      <c r="U187" s="11">
        <f>10^3*0.06894757*(2*T187*0.375)/(14*$C$187)</f>
        <v>53.926849392857143</v>
      </c>
      <c r="V187" s="4">
        <v>12.5</v>
      </c>
      <c r="W187" s="11">
        <f>10^3*0.06894757*(2*V187*0.375)/(14*$C$187)</f>
        <v>46.170247767857141</v>
      </c>
      <c r="X187" s="4">
        <v>10.7</v>
      </c>
      <c r="Y187" s="11">
        <f>10^3*0.06894757*(2*X187*0.375)/(14*$C$187)</f>
        <v>39.521732089285706</v>
      </c>
      <c r="Z187" s="4">
        <v>9.1999999999999993</v>
      </c>
      <c r="AA187" s="12">
        <f>10^3*0.06894757*(2*Z187*0.375)/(14*$C$187)</f>
        <v>33.981302357142859</v>
      </c>
    </row>
    <row r="188" spans="1:27" x14ac:dyDescent="0.25">
      <c r="A188" s="43"/>
      <c r="B188" s="45"/>
      <c r="C188" s="4">
        <v>1</v>
      </c>
      <c r="D188" s="4">
        <v>14</v>
      </c>
      <c r="E188" s="4">
        <v>40</v>
      </c>
      <c r="F188" s="4">
        <v>14</v>
      </c>
      <c r="G188" s="4">
        <v>0.438</v>
      </c>
      <c r="H188" s="4">
        <v>16</v>
      </c>
      <c r="I188" s="11">
        <f>10^3*0.06894757*(2*H188*0.438)/(14*$C$188)</f>
        <v>69.026367222857147</v>
      </c>
      <c r="J188" s="4">
        <v>16</v>
      </c>
      <c r="K188" s="11">
        <f>10^3*0.06894757*(2*J188*0.438)/(14*$C$188)</f>
        <v>69.026367222857147</v>
      </c>
      <c r="L188" s="4">
        <v>16</v>
      </c>
      <c r="M188" s="11">
        <f>10^3*0.06894757*(2*L188*0.438)/(14*$C$188)</f>
        <v>69.026367222857147</v>
      </c>
      <c r="N188" s="4">
        <v>16</v>
      </c>
      <c r="O188" s="11">
        <f>10^3*0.06894757*(2*N188*0.438)/(14*$C$188)</f>
        <v>69.026367222857147</v>
      </c>
      <c r="P188" s="4">
        <v>16</v>
      </c>
      <c r="Q188" s="11">
        <f>10^3*0.06894757*(2*P188*0.438)/(14*$C$188)</f>
        <v>69.026367222857147</v>
      </c>
      <c r="R188" s="4">
        <v>15.3</v>
      </c>
      <c r="S188" s="11">
        <f>10^3*0.06894757*(2*R188*0.438)/(14*$C$188)</f>
        <v>66.00646365685715</v>
      </c>
      <c r="T188" s="4">
        <v>14.6</v>
      </c>
      <c r="U188" s="11">
        <f>10^3*0.06894757*(2*T188*0.438)/(14*$C$188)</f>
        <v>62.986560090857147</v>
      </c>
      <c r="V188" s="4">
        <v>12.5</v>
      </c>
      <c r="W188" s="11">
        <f>10^3*0.06894757*(2*V188*0.438)/(14*$C$188)</f>
        <v>53.926849392857143</v>
      </c>
      <c r="X188" s="4">
        <v>10.7</v>
      </c>
      <c r="Y188" s="11">
        <f>10^3*0.06894757*(2*X188*0.438)/(14*$C$188)</f>
        <v>46.161383080285709</v>
      </c>
      <c r="Z188" s="4">
        <v>9.1999999999999993</v>
      </c>
      <c r="AA188" s="12">
        <f>10^3*0.06894757*(2*Z188*0.438)/(14*$C$188)</f>
        <v>39.690161153142853</v>
      </c>
    </row>
    <row r="189" spans="1:27" x14ac:dyDescent="0.25">
      <c r="A189" s="43"/>
      <c r="B189" s="45"/>
      <c r="C189" s="4">
        <v>1</v>
      </c>
      <c r="D189" s="4">
        <v>14</v>
      </c>
      <c r="E189" s="4">
        <v>80</v>
      </c>
      <c r="F189" s="4">
        <v>14</v>
      </c>
      <c r="G189" s="4">
        <v>0.75</v>
      </c>
      <c r="H189" s="4">
        <v>16</v>
      </c>
      <c r="I189" s="11">
        <f>10^3*0.06894757*(2*H189*0.75)/(14*$C$189)</f>
        <v>118.1958342857143</v>
      </c>
      <c r="J189" s="4">
        <v>16</v>
      </c>
      <c r="K189" s="11">
        <f>10^3*0.06894757*(2*J189*0.75)/(14*$C$189)</f>
        <v>118.1958342857143</v>
      </c>
      <c r="L189" s="4">
        <v>16</v>
      </c>
      <c r="M189" s="11">
        <f>10^3*0.06894757*(2*L189*0.75)/(14*$C$189)</f>
        <v>118.1958342857143</v>
      </c>
      <c r="N189" s="4">
        <v>16</v>
      </c>
      <c r="O189" s="11">
        <f>10^3*0.06894757*(2*N189*0.75)/(14*$C$189)</f>
        <v>118.1958342857143</v>
      </c>
      <c r="P189" s="4">
        <v>16</v>
      </c>
      <c r="Q189" s="11">
        <f>10^3*0.06894757*(2*P189*0.75)/(14*$C$189)</f>
        <v>118.1958342857143</v>
      </c>
      <c r="R189" s="4">
        <v>15.3</v>
      </c>
      <c r="S189" s="11">
        <f>10^3*0.06894757*(2*R189*0.75)/(14*$C$189)</f>
        <v>113.02476653571431</v>
      </c>
      <c r="T189" s="4">
        <v>14.6</v>
      </c>
      <c r="U189" s="11">
        <f>10^3*0.06894757*(2*T189*0.75)/(14*$C$189)</f>
        <v>107.85369878571429</v>
      </c>
      <c r="V189" s="4">
        <v>12.5</v>
      </c>
      <c r="W189" s="11">
        <f>10^3*0.06894757*(2*V189*0.75)/(14*$C$189)</f>
        <v>92.340495535714282</v>
      </c>
      <c r="X189" s="4">
        <v>10.7</v>
      </c>
      <c r="Y189" s="11">
        <f>10^3*0.06894757*(2*X189*0.75)/(14*$C$189)</f>
        <v>79.043464178571412</v>
      </c>
      <c r="Z189" s="4">
        <v>9.1999999999999993</v>
      </c>
      <c r="AA189" s="12">
        <f>10^3*0.06894757*(2*Z189*0.75)/(14*$C$189)</f>
        <v>67.962604714285717</v>
      </c>
    </row>
    <row r="190" spans="1:27" ht="16.5" thickBot="1" x14ac:dyDescent="0.3">
      <c r="A190" s="43"/>
      <c r="B190" s="46"/>
      <c r="C190" s="5">
        <v>1</v>
      </c>
      <c r="D190" s="5">
        <v>14</v>
      </c>
      <c r="E190" s="5">
        <v>160</v>
      </c>
      <c r="F190" s="5">
        <v>14</v>
      </c>
      <c r="G190" s="5">
        <v>1.4059999999999999</v>
      </c>
      <c r="H190" s="5">
        <v>16</v>
      </c>
      <c r="I190" s="13">
        <f>10^3*0.06894757*(2*H190*1.406)/(14*$C$190)</f>
        <v>221.57779067428569</v>
      </c>
      <c r="J190" s="5">
        <v>16</v>
      </c>
      <c r="K190" s="13">
        <f>10^3*0.06894757*(2*J190*1.406)/(14*$C$190)</f>
        <v>221.57779067428569</v>
      </c>
      <c r="L190" s="5">
        <v>16</v>
      </c>
      <c r="M190" s="13">
        <f>10^3*0.06894757*(2*L190*1.406)/(14*$C$190)</f>
        <v>221.57779067428569</v>
      </c>
      <c r="N190" s="5">
        <v>16</v>
      </c>
      <c r="O190" s="13">
        <f>10^3*0.06894757*(2*N190*1.406)/(14*$C$190)</f>
        <v>221.57779067428569</v>
      </c>
      <c r="P190" s="5">
        <v>16</v>
      </c>
      <c r="Q190" s="13">
        <f>10^3*0.06894757*(2*P190*1.406)/(14*$C$190)</f>
        <v>221.57779067428569</v>
      </c>
      <c r="R190" s="5">
        <v>15.3</v>
      </c>
      <c r="S190" s="13">
        <f>10^3*0.06894757*(2*R190*1.406)/(14*$C$190)</f>
        <v>211.8837623322857</v>
      </c>
      <c r="T190" s="5">
        <v>14.6</v>
      </c>
      <c r="U190" s="13">
        <f>10^3*0.06894757*(2*T190*1.406)/(14*$C$190)</f>
        <v>202.1897339902857</v>
      </c>
      <c r="V190" s="5">
        <v>12.5</v>
      </c>
      <c r="W190" s="13">
        <f>10^3*0.06894757*(2*V190*1.406)/(14*$C$190)</f>
        <v>173.10764896428572</v>
      </c>
      <c r="X190" s="5">
        <v>10.7</v>
      </c>
      <c r="Y190" s="13">
        <f>10^3*0.06894757*(2*X190*1.406)/(14*$C$190)</f>
        <v>148.18014751342858</v>
      </c>
      <c r="Z190" s="5">
        <v>9.1999999999999993</v>
      </c>
      <c r="AA190" s="14">
        <f>10^3*0.06894757*(2*Z190*1.406)/(14*$C$190)</f>
        <v>127.40722963771427</v>
      </c>
    </row>
    <row r="191" spans="1:27" x14ac:dyDescent="0.25">
      <c r="A191" s="43"/>
      <c r="B191" s="44" t="s">
        <v>1</v>
      </c>
      <c r="C191" s="3">
        <v>1</v>
      </c>
      <c r="D191" s="3">
        <v>14</v>
      </c>
      <c r="E191" s="3">
        <v>5</v>
      </c>
      <c r="F191" s="19">
        <v>14</v>
      </c>
      <c r="G191" s="3">
        <v>0.156</v>
      </c>
      <c r="H191" s="3">
        <v>20</v>
      </c>
      <c r="I191" s="9">
        <f>10^3*0.06894757*(2*H191*0.156)/(14*$C$185)</f>
        <v>30.730916914285718</v>
      </c>
      <c r="J191" s="3">
        <v>20</v>
      </c>
      <c r="K191" s="9">
        <f>10^3*0.06894757*(2*J191*0.156)/(14*$C$185)</f>
        <v>30.730916914285718</v>
      </c>
      <c r="L191" s="3">
        <v>20</v>
      </c>
      <c r="M191" s="9">
        <f>10^3*0.06894757*(2*L191*0.156)/(14*$C$185)</f>
        <v>30.730916914285718</v>
      </c>
      <c r="N191" s="3">
        <v>19.899999999999999</v>
      </c>
      <c r="O191" s="9">
        <f>10^3*0.06894757*(2*N191*0.156)/(14*$C$185)</f>
        <v>30.57726232971428</v>
      </c>
      <c r="P191" s="3">
        <v>19</v>
      </c>
      <c r="Q191" s="9">
        <f>10^3*0.06894757*(2*P191*0.156)/(14*$C$185)</f>
        <v>29.194371068571428</v>
      </c>
      <c r="R191" s="3">
        <v>17.899999999999999</v>
      </c>
      <c r="S191" s="9">
        <f>10^3*0.06894757*(2*R191*0.156)/(14*$C$185)</f>
        <v>27.504170638285711</v>
      </c>
      <c r="T191" s="3">
        <v>17.3</v>
      </c>
      <c r="U191" s="9">
        <f>10^3*0.06894757*(2*T191*0.156)/(14*$C$185)</f>
        <v>26.582243130857144</v>
      </c>
      <c r="V191" s="3">
        <v>16.7</v>
      </c>
      <c r="W191" s="9">
        <f>10^3*0.06894757*(2*V191*0.156)/(14*$C$185)</f>
        <v>25.66031562342857</v>
      </c>
      <c r="X191" s="3">
        <v>13.9</v>
      </c>
      <c r="Y191" s="9">
        <f>10^3*0.06894757*(2*X191*0.156)/(14*$C$185)</f>
        <v>21.357987255428572</v>
      </c>
      <c r="Z191" s="3">
        <v>11.4</v>
      </c>
      <c r="AA191" s="10">
        <f>10^3*0.06894757*(2*Z191*0.156)/(14*$C$185)</f>
        <v>17.516622641142856</v>
      </c>
    </row>
    <row r="192" spans="1:27" x14ac:dyDescent="0.25">
      <c r="A192" s="43"/>
      <c r="B192" s="45"/>
      <c r="C192" s="4">
        <v>1</v>
      </c>
      <c r="D192" s="4">
        <v>14</v>
      </c>
      <c r="E192" s="4">
        <v>10</v>
      </c>
      <c r="F192" s="4">
        <v>14</v>
      </c>
      <c r="G192" s="4">
        <v>0.25</v>
      </c>
      <c r="H192" s="4">
        <v>20</v>
      </c>
      <c r="I192" s="11">
        <f>10^3*0.06894757*(2*H192*0.25)/(14*$C$186)</f>
        <v>49.248264285714285</v>
      </c>
      <c r="J192" s="4">
        <v>20</v>
      </c>
      <c r="K192" s="11">
        <f>10^3*0.06894757*(2*J192*0.25)/(14*$C$186)</f>
        <v>49.248264285714285</v>
      </c>
      <c r="L192" s="4">
        <v>20</v>
      </c>
      <c r="M192" s="11">
        <f>10^3*0.06894757*(2*L192*0.25)/(14*$C$186)</f>
        <v>49.248264285714285</v>
      </c>
      <c r="N192" s="4">
        <v>19.899999999999999</v>
      </c>
      <c r="O192" s="11">
        <f>10^3*0.06894757*(2*N192*0.25)/(14*$C$186)</f>
        <v>49.002022964285707</v>
      </c>
      <c r="P192" s="4">
        <v>19</v>
      </c>
      <c r="Q192" s="11">
        <f>10^3*0.06894757*(2*P192*0.25)/(14*$C$186)</f>
        <v>46.785851071428567</v>
      </c>
      <c r="R192" s="4">
        <v>17.899999999999999</v>
      </c>
      <c r="S192" s="11">
        <f>10^3*0.06894757*(2*R192*0.25)/(14*$C$186)</f>
        <v>44.077196535714279</v>
      </c>
      <c r="T192" s="4">
        <v>17.3</v>
      </c>
      <c r="U192" s="11">
        <f>10^3*0.06894757*(2*T192*0.25)/(14*$C$186)</f>
        <v>42.599748607142864</v>
      </c>
      <c r="V192" s="4">
        <v>16.7</v>
      </c>
      <c r="W192" s="11">
        <f>10^3*0.06894757*(2*V192*0.25)/(14*$C$186)</f>
        <v>41.122300678571428</v>
      </c>
      <c r="X192" s="4">
        <v>13.9</v>
      </c>
      <c r="Y192" s="11">
        <f>10^3*0.06894757*(2*X192*0.25)/(14*$C$186)</f>
        <v>34.227543678571429</v>
      </c>
      <c r="Z192" s="4">
        <v>11.4</v>
      </c>
      <c r="AA192" s="12">
        <f>10^3*0.06894757*(2*Z192*0.25)/(14*$C$186)</f>
        <v>28.071510642857142</v>
      </c>
    </row>
    <row r="193" spans="1:27" x14ac:dyDescent="0.25">
      <c r="A193" s="43"/>
      <c r="B193" s="45"/>
      <c r="C193" s="4">
        <v>1</v>
      </c>
      <c r="D193" s="4">
        <v>14</v>
      </c>
      <c r="E193" s="4">
        <v>30</v>
      </c>
      <c r="F193" s="4">
        <v>14</v>
      </c>
      <c r="G193" s="4">
        <v>0.375</v>
      </c>
      <c r="H193" s="4">
        <v>20</v>
      </c>
      <c r="I193" s="11">
        <f>10^3*0.06894757*(2*H193*0.375)/(14*$C$187)</f>
        <v>73.87239642857142</v>
      </c>
      <c r="J193" s="4">
        <v>20</v>
      </c>
      <c r="K193" s="11">
        <f>10^3*0.06894757*(2*J193*0.375)/(14*$C$187)</f>
        <v>73.87239642857142</v>
      </c>
      <c r="L193" s="4">
        <v>20</v>
      </c>
      <c r="M193" s="11">
        <f>10^3*0.06894757*(2*L193*0.375)/(14*$C$187)</f>
        <v>73.87239642857142</v>
      </c>
      <c r="N193" s="4">
        <v>19.899999999999999</v>
      </c>
      <c r="O193" s="11">
        <f>10^3*0.06894757*(2*N193*0.375)/(14*$C$187)</f>
        <v>73.503034446428572</v>
      </c>
      <c r="P193" s="4">
        <v>19</v>
      </c>
      <c r="Q193" s="11">
        <f>10^3*0.06894757*(2*P193*0.375)/(14*$C$187)</f>
        <v>70.178776607142851</v>
      </c>
      <c r="R193" s="4">
        <v>17.899999999999999</v>
      </c>
      <c r="S193" s="11">
        <f>10^3*0.06894757*(2*R193*0.375)/(14*$C$187)</f>
        <v>66.115794803571418</v>
      </c>
      <c r="T193" s="4">
        <v>17.3</v>
      </c>
      <c r="U193" s="11">
        <f>10^3*0.06894757*(2*T193*0.375)/(14*$C$187)</f>
        <v>63.899622910714292</v>
      </c>
      <c r="V193" s="4">
        <v>16.7</v>
      </c>
      <c r="W193" s="11">
        <f>10^3*0.06894757*(2*V193*0.375)/(14*$C$187)</f>
        <v>61.683451017857131</v>
      </c>
      <c r="X193" s="4">
        <v>13.9</v>
      </c>
      <c r="Y193" s="11">
        <f>10^3*0.06894757*(2*X193*0.375)/(14*$C$187)</f>
        <v>51.341315517857147</v>
      </c>
      <c r="Z193" s="4">
        <v>11.4</v>
      </c>
      <c r="AA193" s="12">
        <f>10^3*0.06894757*(2*Z193*0.375)/(14*$C$187)</f>
        <v>42.107265964285716</v>
      </c>
    </row>
    <row r="194" spans="1:27" x14ac:dyDescent="0.25">
      <c r="A194" s="43"/>
      <c r="B194" s="45"/>
      <c r="C194" s="4">
        <v>1</v>
      </c>
      <c r="D194" s="4">
        <v>14</v>
      </c>
      <c r="E194" s="4">
        <v>40</v>
      </c>
      <c r="F194" s="4">
        <v>14</v>
      </c>
      <c r="G194" s="4">
        <v>0.438</v>
      </c>
      <c r="H194" s="4">
        <v>20</v>
      </c>
      <c r="I194" s="11">
        <f>10^3*0.06894757*(2*H194*0.438)/(14*$C$188)</f>
        <v>86.282959028571426</v>
      </c>
      <c r="J194" s="4">
        <v>20</v>
      </c>
      <c r="K194" s="11">
        <f>10^3*0.06894757*(2*J194*0.438)/(14*$C$188)</f>
        <v>86.282959028571426</v>
      </c>
      <c r="L194" s="4">
        <v>20</v>
      </c>
      <c r="M194" s="11">
        <f>10^3*0.06894757*(2*L194*0.438)/(14*$C$188)</f>
        <v>86.282959028571426</v>
      </c>
      <c r="N194" s="4">
        <v>19.899999999999999</v>
      </c>
      <c r="O194" s="11">
        <f>10^3*0.06894757*(2*N194*0.438)/(14*$C$188)</f>
        <v>85.851544233428555</v>
      </c>
      <c r="P194" s="4">
        <v>19</v>
      </c>
      <c r="Q194" s="11">
        <f>10^3*0.06894757*(2*P194*0.438)/(14*$C$188)</f>
        <v>81.968811077142846</v>
      </c>
      <c r="R194" s="4">
        <v>17.899999999999999</v>
      </c>
      <c r="S194" s="11">
        <f>10^3*0.06894757*(2*R194*0.438)/(14*$C$188)</f>
        <v>77.223248330571423</v>
      </c>
      <c r="T194" s="4">
        <v>17.3</v>
      </c>
      <c r="U194" s="11">
        <f>10^3*0.06894757*(2*T194*0.438)/(14*$C$188)</f>
        <v>74.634759559714283</v>
      </c>
      <c r="V194" s="4">
        <v>16.7</v>
      </c>
      <c r="W194" s="11">
        <f>10^3*0.06894757*(2*V194*0.438)/(14*$C$188)</f>
        <v>72.046270788857143</v>
      </c>
      <c r="X194" s="4">
        <v>13.9</v>
      </c>
      <c r="Y194" s="11">
        <f>10^3*0.06894757*(2*X194*0.438)/(14*$C$188)</f>
        <v>59.96665652485715</v>
      </c>
      <c r="Z194" s="4">
        <v>11.4</v>
      </c>
      <c r="AA194" s="12">
        <f>10^3*0.06894757*(2*Z194*0.438)/(14*$C$188)</f>
        <v>49.181286646285706</v>
      </c>
    </row>
    <row r="195" spans="1:27" x14ac:dyDescent="0.25">
      <c r="A195" s="43"/>
      <c r="B195" s="45"/>
      <c r="C195" s="4">
        <v>1</v>
      </c>
      <c r="D195" s="4">
        <v>14</v>
      </c>
      <c r="E195" s="4">
        <v>80</v>
      </c>
      <c r="F195" s="4">
        <v>14</v>
      </c>
      <c r="G195" s="4">
        <v>0.75</v>
      </c>
      <c r="H195" s="4">
        <v>20</v>
      </c>
      <c r="I195" s="11">
        <f>10^3*0.06894757*(2*H195*0.75)/(14*$C$189)</f>
        <v>147.74479285714284</v>
      </c>
      <c r="J195" s="4">
        <v>20</v>
      </c>
      <c r="K195" s="11">
        <f>10^3*0.06894757*(2*J195*0.75)/(14*$C$189)</f>
        <v>147.74479285714284</v>
      </c>
      <c r="L195" s="4">
        <v>20</v>
      </c>
      <c r="M195" s="11">
        <f>10^3*0.06894757*(2*L195*0.75)/(14*$C$189)</f>
        <v>147.74479285714284</v>
      </c>
      <c r="N195" s="4">
        <v>19.899999999999999</v>
      </c>
      <c r="O195" s="11">
        <f>10^3*0.06894757*(2*N195*0.75)/(14*$C$189)</f>
        <v>147.00606889285714</v>
      </c>
      <c r="P195" s="4">
        <v>19</v>
      </c>
      <c r="Q195" s="11">
        <f>10^3*0.06894757*(2*P195*0.75)/(14*$C$189)</f>
        <v>140.3575532142857</v>
      </c>
      <c r="R195" s="4">
        <v>17.899999999999999</v>
      </c>
      <c r="S195" s="11">
        <f>10^3*0.06894757*(2*R195*0.75)/(14*$C$189)</f>
        <v>132.23158960714284</v>
      </c>
      <c r="T195" s="4">
        <v>17.3</v>
      </c>
      <c r="U195" s="11">
        <f>10^3*0.06894757*(2*T195*0.75)/(14*$C$189)</f>
        <v>127.79924582142858</v>
      </c>
      <c r="V195" s="4">
        <v>16.7</v>
      </c>
      <c r="W195" s="11">
        <f>10^3*0.06894757*(2*V195*0.75)/(14*$C$189)</f>
        <v>123.36690203571426</v>
      </c>
      <c r="X195" s="4">
        <v>13.9</v>
      </c>
      <c r="Y195" s="11">
        <f>10^3*0.06894757*(2*X195*0.75)/(14*$C$189)</f>
        <v>102.68263103571429</v>
      </c>
      <c r="Z195" s="4">
        <v>11.4</v>
      </c>
      <c r="AA195" s="12">
        <f>10^3*0.06894757*(2*Z195*0.75)/(14*$C$189)</f>
        <v>84.214531928571432</v>
      </c>
    </row>
    <row r="196" spans="1:27" ht="16.5" thickBot="1" x14ac:dyDescent="0.3">
      <c r="A196" s="43"/>
      <c r="B196" s="46"/>
      <c r="C196" s="5">
        <v>1</v>
      </c>
      <c r="D196" s="5">
        <v>14</v>
      </c>
      <c r="E196" s="5">
        <v>160</v>
      </c>
      <c r="F196" s="5">
        <v>14</v>
      </c>
      <c r="G196" s="5">
        <v>1.4059999999999999</v>
      </c>
      <c r="H196" s="5">
        <v>20</v>
      </c>
      <c r="I196" s="13">
        <f>10^3*0.06894757*(2*H196*1.406)/(14*$C$190)</f>
        <v>276.97223834285711</v>
      </c>
      <c r="J196" s="5">
        <v>20</v>
      </c>
      <c r="K196" s="13">
        <f>10^3*0.06894757*(2*J196*1.406)/(14*$C$190)</f>
        <v>276.97223834285711</v>
      </c>
      <c r="L196" s="5">
        <v>20</v>
      </c>
      <c r="M196" s="13">
        <f>10^3*0.06894757*(2*L196*1.406)/(14*$C$190)</f>
        <v>276.97223834285711</v>
      </c>
      <c r="N196" s="5">
        <v>19.899999999999999</v>
      </c>
      <c r="O196" s="13">
        <f>10^3*0.06894757*(2*N196*1.406)/(14*$C$190)</f>
        <v>275.58737715114279</v>
      </c>
      <c r="P196" s="5">
        <v>19</v>
      </c>
      <c r="Q196" s="13">
        <f>10^3*0.06894757*(2*P196*1.406)/(14*$C$190)</f>
        <v>263.12362642571424</v>
      </c>
      <c r="R196" s="5">
        <v>17.899999999999999</v>
      </c>
      <c r="S196" s="13">
        <f>10^3*0.06894757*(2*R196*1.406)/(14*$C$190)</f>
        <v>247.89015331685709</v>
      </c>
      <c r="T196" s="5">
        <v>17.3</v>
      </c>
      <c r="U196" s="13">
        <f>10^3*0.06894757*(2*T196*1.406)/(14*$C$190)</f>
        <v>239.58098616657142</v>
      </c>
      <c r="V196" s="5">
        <v>16.7</v>
      </c>
      <c r="W196" s="13">
        <f>10^3*0.06894757*(2*V196*1.406)/(14*$C$190)</f>
        <v>231.27181901628569</v>
      </c>
      <c r="X196" s="5">
        <v>13.9</v>
      </c>
      <c r="Y196" s="13">
        <f>10^3*0.06894757*(2*X196*1.406)/(14*$C$190)</f>
        <v>192.49570564828568</v>
      </c>
      <c r="Z196" s="5">
        <v>11.4</v>
      </c>
      <c r="AA196" s="14">
        <f>10^3*0.06894757*(2*Z196*1.406)/(14*$C$190)</f>
        <v>157.87417585542858</v>
      </c>
    </row>
    <row r="197" spans="1:27" x14ac:dyDescent="0.25">
      <c r="A197" s="43"/>
      <c r="B197" s="44" t="s">
        <v>6</v>
      </c>
      <c r="C197" s="3">
        <v>1</v>
      </c>
      <c r="D197" s="3">
        <v>14</v>
      </c>
      <c r="E197" s="3">
        <v>5</v>
      </c>
      <c r="F197" s="19">
        <v>14</v>
      </c>
      <c r="G197" s="3">
        <v>0.156</v>
      </c>
      <c r="H197" s="6">
        <v>23.3</v>
      </c>
      <c r="I197" s="9">
        <f>10^3*0.06894757*(2*H197*0.156)/(14*$C$185)</f>
        <v>35.801518205142862</v>
      </c>
      <c r="J197" s="6">
        <v>23.3</v>
      </c>
      <c r="K197" s="9">
        <f>10^3*0.06894757*(2*J197*0.156)/(14*$C$185)</f>
        <v>35.801518205142862</v>
      </c>
      <c r="L197" s="6">
        <v>23.3</v>
      </c>
      <c r="M197" s="9">
        <f>10^3*0.06894757*(2*L197*0.156)/(14*$C$185)</f>
        <v>35.801518205142862</v>
      </c>
      <c r="N197" s="6">
        <v>22.8</v>
      </c>
      <c r="O197" s="9">
        <f>10^3*0.06894757*(2*N197*0.156)/(14*$C$185)</f>
        <v>35.033245282285712</v>
      </c>
      <c r="P197" s="6">
        <v>21.7</v>
      </c>
      <c r="Q197" s="9">
        <f>10^3*0.06894757*(2*P197*0.156)/(14*$C$185)</f>
        <v>33.343044851999998</v>
      </c>
      <c r="R197" s="6">
        <v>20.399999999999999</v>
      </c>
      <c r="S197" s="9">
        <f>10^3*0.06894757*(2*R197*0.156)/(14*$C$185)</f>
        <v>31.345535252571427</v>
      </c>
      <c r="T197" s="6">
        <v>19.8</v>
      </c>
      <c r="U197" s="9">
        <f>10^3*0.06894757*(2*T197*0.156)/(14*$C$185)</f>
        <v>30.423607745142856</v>
      </c>
      <c r="V197" s="6">
        <v>18.3</v>
      </c>
      <c r="W197" s="9">
        <f>10^3*0.06894757*(2*V197*0.156)/(14*$C$185)</f>
        <v>28.11878897657143</v>
      </c>
      <c r="X197" s="6">
        <v>14.8</v>
      </c>
      <c r="Y197" s="9">
        <f>10^3*0.06894757*(2*X197*0.156)/(14*$C$185)</f>
        <v>22.740878516571431</v>
      </c>
      <c r="Z197" s="6">
        <v>12</v>
      </c>
      <c r="AA197" s="10">
        <f>10^3*0.06894757*(2*Z197*0.156)/(14*$C$185)</f>
        <v>18.43855014857143</v>
      </c>
    </row>
    <row r="198" spans="1:27" x14ac:dyDescent="0.25">
      <c r="A198" s="43"/>
      <c r="B198" s="45"/>
      <c r="C198" s="4">
        <v>1</v>
      </c>
      <c r="D198" s="4">
        <v>14</v>
      </c>
      <c r="E198" s="4">
        <v>10</v>
      </c>
      <c r="F198" s="4">
        <v>14</v>
      </c>
      <c r="G198" s="4">
        <v>0.25</v>
      </c>
      <c r="H198" s="7">
        <v>23.3</v>
      </c>
      <c r="I198" s="11">
        <f>10^3*0.06894757*(2*H198*0.25)/(14*$C$186)</f>
        <v>57.374227892857149</v>
      </c>
      <c r="J198" s="7">
        <v>23.3</v>
      </c>
      <c r="K198" s="11">
        <f>10^3*0.06894757*(2*J198*0.25)/(14*$C$186)</f>
        <v>57.374227892857149</v>
      </c>
      <c r="L198" s="7">
        <v>23.3</v>
      </c>
      <c r="M198" s="11">
        <f>10^3*0.06894757*(2*L198*0.25)/(14*$C$186)</f>
        <v>57.374227892857149</v>
      </c>
      <c r="N198" s="7">
        <v>22.8</v>
      </c>
      <c r="O198" s="11">
        <f>10^3*0.06894757*(2*N198*0.25)/(14*$C$186)</f>
        <v>56.143021285714283</v>
      </c>
      <c r="P198" s="7">
        <v>21.7</v>
      </c>
      <c r="Q198" s="11">
        <f>10^3*0.06894757*(2*P198*0.25)/(14*$C$186)</f>
        <v>53.434366749999995</v>
      </c>
      <c r="R198" s="7">
        <v>20.399999999999999</v>
      </c>
      <c r="S198" s="11">
        <f>10^3*0.06894757*(2*R198*0.25)/(14*$C$186)</f>
        <v>50.233229571428566</v>
      </c>
      <c r="T198" s="7">
        <v>19.8</v>
      </c>
      <c r="U198" s="11">
        <f>10^3*0.06894757*(2*T198*0.25)/(14*$C$186)</f>
        <v>48.755781642857144</v>
      </c>
      <c r="V198" s="7">
        <v>18.3</v>
      </c>
      <c r="W198" s="11">
        <f>10^3*0.06894757*(2*V198*0.25)/(14*$C$186)</f>
        <v>45.062161821428568</v>
      </c>
      <c r="X198" s="7">
        <v>14.8</v>
      </c>
      <c r="Y198" s="11">
        <f>10^3*0.06894757*(2*X198*0.25)/(14*$C$186)</f>
        <v>36.443715571428569</v>
      </c>
      <c r="Z198" s="7">
        <v>12</v>
      </c>
      <c r="AA198" s="12">
        <f>10^3*0.06894757*(2*Z198*0.25)/(14*$C$186)</f>
        <v>29.548958571428575</v>
      </c>
    </row>
    <row r="199" spans="1:27" x14ac:dyDescent="0.25">
      <c r="A199" s="43"/>
      <c r="B199" s="45"/>
      <c r="C199" s="4">
        <v>1</v>
      </c>
      <c r="D199" s="4">
        <v>14</v>
      </c>
      <c r="E199" s="4">
        <v>30</v>
      </c>
      <c r="F199" s="4">
        <v>14</v>
      </c>
      <c r="G199" s="4">
        <v>0.375</v>
      </c>
      <c r="H199" s="7">
        <v>23.3</v>
      </c>
      <c r="I199" s="11">
        <f>10^3*0.06894757*(2*H199*0.375)/(14*$C$187)</f>
        <v>86.061341839285731</v>
      </c>
      <c r="J199" s="7">
        <v>23.3</v>
      </c>
      <c r="K199" s="11">
        <f>10^3*0.06894757*(2*J199*0.375)/(14*$C$187)</f>
        <v>86.061341839285731</v>
      </c>
      <c r="L199" s="7">
        <v>23.3</v>
      </c>
      <c r="M199" s="11">
        <f>10^3*0.06894757*(2*L199*0.375)/(14*$C$187)</f>
        <v>86.061341839285731</v>
      </c>
      <c r="N199" s="7">
        <v>22.8</v>
      </c>
      <c r="O199" s="11">
        <f>10^3*0.06894757*(2*N199*0.375)/(14*$C$187)</f>
        <v>84.214531928571432</v>
      </c>
      <c r="P199" s="7">
        <v>21.7</v>
      </c>
      <c r="Q199" s="11">
        <f>10^3*0.06894757*(2*P199*0.375)/(14*$C$187)</f>
        <v>80.151550124999986</v>
      </c>
      <c r="R199" s="7">
        <v>20.399999999999999</v>
      </c>
      <c r="S199" s="11">
        <f>10^3*0.06894757*(2*R199*0.375)/(14*$C$187)</f>
        <v>75.349844357142857</v>
      </c>
      <c r="T199" s="7">
        <v>19.8</v>
      </c>
      <c r="U199" s="11">
        <f>10^3*0.06894757*(2*T199*0.375)/(14*$C$187)</f>
        <v>73.133672464285723</v>
      </c>
      <c r="V199" s="7">
        <v>18.3</v>
      </c>
      <c r="W199" s="11">
        <f>10^3*0.06894757*(2*V199*0.375)/(14*$C$187)</f>
        <v>67.593242732142855</v>
      </c>
      <c r="X199" s="7">
        <v>14.8</v>
      </c>
      <c r="Y199" s="11">
        <f>10^3*0.06894757*(2*X199*0.375)/(14*$C$187)</f>
        <v>54.665573357142861</v>
      </c>
      <c r="Z199" s="7">
        <v>12</v>
      </c>
      <c r="AA199" s="12">
        <f>10^3*0.06894757*(2*Z199*0.375)/(14*$C$187)</f>
        <v>44.323437857142856</v>
      </c>
    </row>
    <row r="200" spans="1:27" x14ac:dyDescent="0.25">
      <c r="A200" s="43"/>
      <c r="B200" s="45"/>
      <c r="C200" s="4">
        <v>1</v>
      </c>
      <c r="D200" s="4">
        <v>14</v>
      </c>
      <c r="E200" s="4">
        <v>40</v>
      </c>
      <c r="F200" s="4">
        <v>14</v>
      </c>
      <c r="G200" s="4">
        <v>0.438</v>
      </c>
      <c r="H200" s="7">
        <v>23.3</v>
      </c>
      <c r="I200" s="11">
        <f>10^3*0.06894757*(2*H200*0.438)/(14*$C$188)</f>
        <v>100.51964726828571</v>
      </c>
      <c r="J200" s="7">
        <v>23.3</v>
      </c>
      <c r="K200" s="11">
        <f>10^3*0.06894757*(2*J200*0.438)/(14*$C$188)</f>
        <v>100.51964726828571</v>
      </c>
      <c r="L200" s="7">
        <v>23.3</v>
      </c>
      <c r="M200" s="11">
        <f>10^3*0.06894757*(2*L200*0.438)/(14*$C$188)</f>
        <v>100.51964726828571</v>
      </c>
      <c r="N200" s="7">
        <v>22.8</v>
      </c>
      <c r="O200" s="11">
        <f>10^3*0.06894757*(2*N200*0.438)/(14*$C$188)</f>
        <v>98.362573292571412</v>
      </c>
      <c r="P200" s="7">
        <v>21.7</v>
      </c>
      <c r="Q200" s="11">
        <f>10^3*0.06894757*(2*P200*0.438)/(14*$C$188)</f>
        <v>93.617010545999989</v>
      </c>
      <c r="R200" s="7">
        <v>20.399999999999999</v>
      </c>
      <c r="S200" s="11">
        <f>10^3*0.06894757*(2*R200*0.438)/(14*$C$188)</f>
        <v>88.008618209142853</v>
      </c>
      <c r="T200" s="7">
        <v>19.8</v>
      </c>
      <c r="U200" s="11">
        <f>10^3*0.06894757*(2*T200*0.438)/(14*$C$188)</f>
        <v>85.420129438285713</v>
      </c>
      <c r="V200" s="7">
        <v>18.3</v>
      </c>
      <c r="W200" s="11">
        <f>10^3*0.06894757*(2*V200*0.438)/(14*$C$188)</f>
        <v>78.948907511142849</v>
      </c>
      <c r="X200" s="7">
        <v>14.8</v>
      </c>
      <c r="Y200" s="11">
        <f>10^3*0.06894757*(2*X200*0.438)/(14*$C$188)</f>
        <v>63.849389681142853</v>
      </c>
      <c r="Z200" s="7">
        <v>12</v>
      </c>
      <c r="AA200" s="12">
        <f>10^3*0.06894757*(2*Z200*0.438)/(14*$C$188)</f>
        <v>51.76977541714286</v>
      </c>
    </row>
    <row r="201" spans="1:27" x14ac:dyDescent="0.25">
      <c r="A201" s="43"/>
      <c r="B201" s="45"/>
      <c r="C201" s="4">
        <v>1</v>
      </c>
      <c r="D201" s="4">
        <v>14</v>
      </c>
      <c r="E201" s="4">
        <v>80</v>
      </c>
      <c r="F201" s="4">
        <v>14</v>
      </c>
      <c r="G201" s="4">
        <v>0.75</v>
      </c>
      <c r="H201" s="7">
        <v>23.3</v>
      </c>
      <c r="I201" s="11">
        <f>10^3*0.06894757*(2*H201*0.75)/(14*$C$189)</f>
        <v>172.12268367857146</v>
      </c>
      <c r="J201" s="7">
        <v>23.3</v>
      </c>
      <c r="K201" s="11">
        <f>10^3*0.06894757*(2*J201*0.75)/(14*$C$189)</f>
        <v>172.12268367857146</v>
      </c>
      <c r="L201" s="7">
        <v>23.3</v>
      </c>
      <c r="M201" s="11">
        <f>10^3*0.06894757*(2*L201*0.75)/(14*$C$189)</f>
        <v>172.12268367857146</v>
      </c>
      <c r="N201" s="7">
        <v>22.8</v>
      </c>
      <c r="O201" s="11">
        <f>10^3*0.06894757*(2*N201*0.75)/(14*$C$189)</f>
        <v>168.42906385714286</v>
      </c>
      <c r="P201" s="7">
        <v>21.7</v>
      </c>
      <c r="Q201" s="11">
        <f>10^3*0.06894757*(2*P201*0.75)/(14*$C$189)</f>
        <v>160.30310024999997</v>
      </c>
      <c r="R201" s="7">
        <v>20.399999999999999</v>
      </c>
      <c r="S201" s="11">
        <f>10^3*0.06894757*(2*R201*0.75)/(14*$C$189)</f>
        <v>150.69968871428571</v>
      </c>
      <c r="T201" s="7">
        <v>19.8</v>
      </c>
      <c r="U201" s="11">
        <f>10^3*0.06894757*(2*T201*0.75)/(14*$C$189)</f>
        <v>146.26734492857145</v>
      </c>
      <c r="V201" s="7">
        <v>18.3</v>
      </c>
      <c r="W201" s="11">
        <f>10^3*0.06894757*(2*V201*0.75)/(14*$C$189)</f>
        <v>135.18648546428571</v>
      </c>
      <c r="X201" s="7">
        <v>14.8</v>
      </c>
      <c r="Y201" s="11">
        <f>10^3*0.06894757*(2*X201*0.75)/(14*$C$189)</f>
        <v>109.33114671428572</v>
      </c>
      <c r="Z201" s="7">
        <v>12</v>
      </c>
      <c r="AA201" s="12">
        <f>10^3*0.06894757*(2*Z201*0.75)/(14*$C$189)</f>
        <v>88.646875714285713</v>
      </c>
    </row>
    <row r="202" spans="1:27" ht="16.5" thickBot="1" x14ac:dyDescent="0.3">
      <c r="A202" s="43"/>
      <c r="B202" s="46"/>
      <c r="C202" s="5">
        <v>1</v>
      </c>
      <c r="D202" s="5">
        <v>14</v>
      </c>
      <c r="E202" s="5">
        <v>160</v>
      </c>
      <c r="F202" s="4">
        <v>14</v>
      </c>
      <c r="G202" s="5">
        <v>1.4059999999999999</v>
      </c>
      <c r="H202" s="8">
        <v>23.3</v>
      </c>
      <c r="I202" s="13">
        <f>10^3*0.06894757*(2*H202*1.406)/(14*$C$190)</f>
        <v>322.67265766942859</v>
      </c>
      <c r="J202" s="8">
        <v>23.3</v>
      </c>
      <c r="K202" s="13">
        <f>10^3*0.06894757*(2*J202*1.406)/(14*$C$190)</f>
        <v>322.67265766942859</v>
      </c>
      <c r="L202" s="8">
        <v>23.3</v>
      </c>
      <c r="M202" s="13">
        <f>10^3*0.06894757*(2*L202*1.406)/(14*$C$190)</f>
        <v>322.67265766942859</v>
      </c>
      <c r="N202" s="8">
        <v>22.8</v>
      </c>
      <c r="O202" s="13">
        <f>10^3*0.06894757*(2*N202*1.406)/(14*$C$190)</f>
        <v>315.74835171085715</v>
      </c>
      <c r="P202" s="8">
        <v>21.7</v>
      </c>
      <c r="Q202" s="13">
        <f>10^3*0.06894757*(2*P202*1.406)/(14*$C$190)</f>
        <v>300.51487860199995</v>
      </c>
      <c r="R202" s="8">
        <v>20.399999999999999</v>
      </c>
      <c r="S202" s="13">
        <f>10^3*0.06894757*(2*R202*1.406)/(14*$C$190)</f>
        <v>282.51168310971423</v>
      </c>
      <c r="T202" s="8">
        <v>19.8</v>
      </c>
      <c r="U202" s="13">
        <f>10^3*0.06894757*(2*T202*1.406)/(14*$C$190)</f>
        <v>274.20251595942858</v>
      </c>
      <c r="V202" s="8">
        <v>18.3</v>
      </c>
      <c r="W202" s="13">
        <f>10^3*0.06894757*(2*V202*1.406)/(14*$C$190)</f>
        <v>253.4295980837143</v>
      </c>
      <c r="X202" s="8">
        <v>14.8</v>
      </c>
      <c r="Y202" s="13">
        <f>10^3*0.06894757*(2*X202*1.406)/(14*$C$190)</f>
        <v>204.95945637371432</v>
      </c>
      <c r="Z202" s="8">
        <v>12</v>
      </c>
      <c r="AA202" s="14">
        <f>10^3*0.06894757*(2*Z202*1.406)/(14*$C$190)</f>
        <v>166.18334300571428</v>
      </c>
    </row>
    <row r="203" spans="1:27" x14ac:dyDescent="0.25">
      <c r="A203" s="43" t="s">
        <v>5</v>
      </c>
      <c r="B203" s="44" t="s">
        <v>2</v>
      </c>
      <c r="C203" s="3">
        <v>1</v>
      </c>
      <c r="D203" s="3">
        <v>16</v>
      </c>
      <c r="E203" s="3">
        <v>5</v>
      </c>
      <c r="F203" s="3">
        <v>16</v>
      </c>
      <c r="G203" s="3">
        <v>0.16500000000000001</v>
      </c>
      <c r="H203" s="3">
        <v>16</v>
      </c>
      <c r="I203" s="9">
        <f>10^3*0.06894757*(2*H203*0.165)/(16*$C$203)</f>
        <v>22.7526981</v>
      </c>
      <c r="J203" s="3">
        <v>16</v>
      </c>
      <c r="K203" s="9">
        <f>10^3*0.06894757*(2*J203*0.165)/(16*$C$203)</f>
        <v>22.7526981</v>
      </c>
      <c r="L203" s="3">
        <v>16</v>
      </c>
      <c r="M203" s="9">
        <f>10^3*0.06894757*(2*L203*0.165)/(16*$C$203)</f>
        <v>22.7526981</v>
      </c>
      <c r="N203" s="3">
        <v>16</v>
      </c>
      <c r="O203" s="9">
        <f>10^3*0.06894757*(2*N203*0.165)/(16*$C$203)</f>
        <v>22.7526981</v>
      </c>
      <c r="P203" s="3">
        <v>16</v>
      </c>
      <c r="Q203" s="9">
        <f>10^3*0.06894757*(2*P203*0.165)/(16*$C$203)</f>
        <v>22.7526981</v>
      </c>
      <c r="R203" s="3">
        <v>15.3</v>
      </c>
      <c r="S203" s="9">
        <f>10^3*0.06894757*(2*R203*0.165)/(16*$C$203)</f>
        <v>21.757267558125001</v>
      </c>
      <c r="T203" s="3">
        <v>14.6</v>
      </c>
      <c r="U203" s="9">
        <f>10^3*0.06894757*(2*T203*0.165)/(16*$C$203)</f>
        <v>20.761837016250002</v>
      </c>
      <c r="V203" s="3">
        <v>12.5</v>
      </c>
      <c r="W203" s="9">
        <f>10^3*0.06894757*(2*V203*0.165)/(16*$C$203)</f>
        <v>17.775545390624998</v>
      </c>
      <c r="X203" s="3">
        <v>10.7</v>
      </c>
      <c r="Y203" s="9">
        <f>10^3*0.06894757*(2*X203*0.165)/(16*$C$203)</f>
        <v>15.215866854375001</v>
      </c>
      <c r="Z203" s="3">
        <v>9.1999999999999993</v>
      </c>
      <c r="AA203" s="10">
        <f>10^3*0.06894757*(2*Z203*0.165)/(16*$C$203)</f>
        <v>13.0828014075</v>
      </c>
    </row>
    <row r="204" spans="1:27" x14ac:dyDescent="0.25">
      <c r="A204" s="43"/>
      <c r="B204" s="45"/>
      <c r="C204" s="4">
        <v>1</v>
      </c>
      <c r="D204" s="4">
        <v>16</v>
      </c>
      <c r="E204" s="4">
        <v>10</v>
      </c>
      <c r="F204" s="4">
        <v>16</v>
      </c>
      <c r="G204" s="4">
        <v>0.25</v>
      </c>
      <c r="H204" s="4">
        <v>16</v>
      </c>
      <c r="I204" s="11">
        <f>10^3*0.06894757*(2*H204*0.25)/(16*$C$204)</f>
        <v>34.473784999999999</v>
      </c>
      <c r="J204" s="4">
        <v>16</v>
      </c>
      <c r="K204" s="11">
        <f>10^3*0.06894757*(2*J204*0.25)/(16*$C$204)</f>
        <v>34.473784999999999</v>
      </c>
      <c r="L204" s="4">
        <v>16</v>
      </c>
      <c r="M204" s="11">
        <f>10^3*0.06894757*(2*L204*0.25)/(16*$C$204)</f>
        <v>34.473784999999999</v>
      </c>
      <c r="N204" s="4">
        <v>16</v>
      </c>
      <c r="O204" s="11">
        <f>10^3*0.06894757*(2*N204*0.25)/(16*$C$204)</f>
        <v>34.473784999999999</v>
      </c>
      <c r="P204" s="4">
        <v>16</v>
      </c>
      <c r="Q204" s="11">
        <f>10^3*0.06894757*(2*P204*0.25)/(16*$C$204)</f>
        <v>34.473784999999999</v>
      </c>
      <c r="R204" s="4">
        <v>15.3</v>
      </c>
      <c r="S204" s="11">
        <f>10^3*0.06894757*(2*R204*0.25)/(16*$C$204)</f>
        <v>32.965556906250001</v>
      </c>
      <c r="T204" s="4">
        <v>14.6</v>
      </c>
      <c r="U204" s="11">
        <f>10^3*0.06894757*(2*T204*0.25)/(16*$C$204)</f>
        <v>31.457328812499998</v>
      </c>
      <c r="V204" s="4">
        <v>12.5</v>
      </c>
      <c r="W204" s="11">
        <f>10^3*0.06894757*(2*V204*0.25)/(16*$C$204)</f>
        <v>26.932644531249998</v>
      </c>
      <c r="X204" s="4">
        <v>10.7</v>
      </c>
      <c r="Y204" s="11">
        <f>10^3*0.06894757*(2*X204*0.25)/(16*$C$204)</f>
        <v>23.054343718749998</v>
      </c>
      <c r="Z204" s="4">
        <v>9.1999999999999993</v>
      </c>
      <c r="AA204" s="12">
        <f>10^3*0.06894757*(2*Z204*0.25)/(16*$C$204)</f>
        <v>19.822426374999999</v>
      </c>
    </row>
    <row r="205" spans="1:27" x14ac:dyDescent="0.25">
      <c r="A205" s="43"/>
      <c r="B205" s="45"/>
      <c r="C205" s="4">
        <v>1</v>
      </c>
      <c r="D205" s="4">
        <v>16</v>
      </c>
      <c r="E205" s="4">
        <v>30</v>
      </c>
      <c r="F205" s="4">
        <v>16</v>
      </c>
      <c r="G205" s="4">
        <v>0.375</v>
      </c>
      <c r="H205" s="4">
        <v>16</v>
      </c>
      <c r="I205" s="11">
        <f>10^3*0.06894757*(2*H205*0.375)/(16*$C$205)</f>
        <v>51.710677500000003</v>
      </c>
      <c r="J205" s="4">
        <v>16</v>
      </c>
      <c r="K205" s="11">
        <f>10^3*0.06894757*(2*J205*0.375)/(16*$C$205)</f>
        <v>51.710677500000003</v>
      </c>
      <c r="L205" s="4">
        <v>16</v>
      </c>
      <c r="M205" s="11">
        <f>10^3*0.06894757*(2*L205*0.375)/(16*$C$205)</f>
        <v>51.710677500000003</v>
      </c>
      <c r="N205" s="4">
        <v>16</v>
      </c>
      <c r="O205" s="11">
        <f>10^3*0.06894757*(2*N205*0.375)/(16*$C$205)</f>
        <v>51.710677500000003</v>
      </c>
      <c r="P205" s="4">
        <v>16</v>
      </c>
      <c r="Q205" s="11">
        <f>10^3*0.06894757*(2*P205*0.375)/(16*$C$205)</f>
        <v>51.710677500000003</v>
      </c>
      <c r="R205" s="4">
        <v>15.3</v>
      </c>
      <c r="S205" s="11">
        <f>10^3*0.06894757*(2*R205*0.375)/(16*$C$205)</f>
        <v>49.448335359375008</v>
      </c>
      <c r="T205" s="4">
        <v>14.6</v>
      </c>
      <c r="U205" s="11">
        <f>10^3*0.06894757*(2*T205*0.375)/(16*$C$205)</f>
        <v>47.185993218749999</v>
      </c>
      <c r="V205" s="4">
        <v>12.5</v>
      </c>
      <c r="W205" s="11">
        <f>10^3*0.06894757*(2*V205*0.375)/(16*$C$205)</f>
        <v>40.398966796875001</v>
      </c>
      <c r="X205" s="4">
        <v>10.7</v>
      </c>
      <c r="Y205" s="11">
        <f>10^3*0.06894757*(2*X205*0.375)/(16*$C$205)</f>
        <v>34.581515578124993</v>
      </c>
      <c r="Z205" s="4">
        <v>9.1999999999999993</v>
      </c>
      <c r="AA205" s="12">
        <f>10^3*0.06894757*(2*Z205*0.375)/(16*$C$205)</f>
        <v>29.733639562499999</v>
      </c>
    </row>
    <row r="206" spans="1:27" x14ac:dyDescent="0.25">
      <c r="A206" s="43"/>
      <c r="B206" s="45"/>
      <c r="C206" s="4">
        <v>1</v>
      </c>
      <c r="D206" s="4">
        <v>16</v>
      </c>
      <c r="E206" s="4">
        <v>40</v>
      </c>
      <c r="F206" s="4">
        <v>16</v>
      </c>
      <c r="G206" s="4">
        <v>0.5</v>
      </c>
      <c r="H206" s="4">
        <v>16</v>
      </c>
      <c r="I206" s="11">
        <f>10^3*0.06894757*(2*H206*0.5)/(16*$C$206)</f>
        <v>68.947569999999999</v>
      </c>
      <c r="J206" s="4">
        <v>16</v>
      </c>
      <c r="K206" s="11">
        <f>10^3*0.06894757*(2*J206*0.5)/(16*$C$206)</f>
        <v>68.947569999999999</v>
      </c>
      <c r="L206" s="4">
        <v>16</v>
      </c>
      <c r="M206" s="11">
        <f>10^3*0.06894757*(2*L206*0.5)/(16*$C$206)</f>
        <v>68.947569999999999</v>
      </c>
      <c r="N206" s="4">
        <v>16</v>
      </c>
      <c r="O206" s="11">
        <f>10^3*0.06894757*(2*N206*0.5)/(16*$C$206)</f>
        <v>68.947569999999999</v>
      </c>
      <c r="P206" s="4">
        <v>16</v>
      </c>
      <c r="Q206" s="11">
        <f>10^3*0.06894757*(2*P206*0.5)/(16*$C$206)</f>
        <v>68.947569999999999</v>
      </c>
      <c r="R206" s="4">
        <v>15.3</v>
      </c>
      <c r="S206" s="11">
        <f>10^3*0.06894757*(2*R206*0.5)/(16*$C$206)</f>
        <v>65.931113812500001</v>
      </c>
      <c r="T206" s="4">
        <v>14.6</v>
      </c>
      <c r="U206" s="11">
        <f>10^3*0.06894757*(2*T206*0.5)/(16*$C$206)</f>
        <v>62.914657624999997</v>
      </c>
      <c r="V206" s="4">
        <v>12.5</v>
      </c>
      <c r="W206" s="11">
        <f>10^3*0.06894757*(2*V206*0.5)/(16*$C$206)</f>
        <v>53.865289062499997</v>
      </c>
      <c r="X206" s="4">
        <v>10.7</v>
      </c>
      <c r="Y206" s="11">
        <f>10^3*0.06894757*(2*X206*0.5)/(16*$C$206)</f>
        <v>46.108687437499995</v>
      </c>
      <c r="Z206" s="4">
        <v>9.1999999999999993</v>
      </c>
      <c r="AA206" s="12">
        <f>10^3*0.06894757*(2*Z206*0.5)/(16*$C$206)</f>
        <v>39.644852749999998</v>
      </c>
    </row>
    <row r="207" spans="1:27" x14ac:dyDescent="0.25">
      <c r="A207" s="43"/>
      <c r="B207" s="45"/>
      <c r="C207" s="4">
        <v>1</v>
      </c>
      <c r="D207" s="4">
        <v>16</v>
      </c>
      <c r="E207" s="4">
        <v>80</v>
      </c>
      <c r="F207" s="4">
        <v>16</v>
      </c>
      <c r="G207" s="4">
        <v>0.84399999999999997</v>
      </c>
      <c r="H207" s="4">
        <v>16</v>
      </c>
      <c r="I207" s="11">
        <f>10^3*0.06894757*(2*H207*0.844)/(16*$C$207)</f>
        <v>116.38349815999999</v>
      </c>
      <c r="J207" s="4">
        <v>16</v>
      </c>
      <c r="K207" s="11">
        <f>10^3*0.06894757*(2*J207*0.844)/(16*$C$207)</f>
        <v>116.38349815999999</v>
      </c>
      <c r="L207" s="4">
        <v>16</v>
      </c>
      <c r="M207" s="11">
        <f>10^3*0.06894757*(2*L207*0.844)/(16*$C$207)</f>
        <v>116.38349815999999</v>
      </c>
      <c r="N207" s="4">
        <v>16</v>
      </c>
      <c r="O207" s="11">
        <f>10^3*0.06894757*(2*N207*0.844)/(16*$C$207)</f>
        <v>116.38349815999999</v>
      </c>
      <c r="P207" s="4">
        <v>16</v>
      </c>
      <c r="Q207" s="11">
        <f>10^3*0.06894757*(2*P207*0.844)/(16*$C$207)</f>
        <v>116.38349815999999</v>
      </c>
      <c r="R207" s="4">
        <v>15.3</v>
      </c>
      <c r="S207" s="11">
        <f>10^3*0.06894757*(2*R207*0.844)/(16*$C$207)</f>
        <v>111.2917201155</v>
      </c>
      <c r="T207" s="4">
        <v>14.6</v>
      </c>
      <c r="U207" s="11">
        <f>10^3*0.06894757*(2*T207*0.844)/(16*$C$207)</f>
        <v>106.199942071</v>
      </c>
      <c r="V207" s="4">
        <v>12.5</v>
      </c>
      <c r="W207" s="11">
        <f>10^3*0.06894757*(2*V207*0.844)/(16*$C$207)</f>
        <v>90.924607937499985</v>
      </c>
      <c r="X207" s="4">
        <v>10.7</v>
      </c>
      <c r="Y207" s="11">
        <f>10^3*0.06894757*(2*X207*0.844)/(16*$C$207)</f>
        <v>77.831464394499989</v>
      </c>
      <c r="Z207" s="4">
        <v>9.1999999999999993</v>
      </c>
      <c r="AA207" s="12">
        <f>10^3*0.06894757*(2*Z207*0.844)/(16*$C$207)</f>
        <v>66.920511441999992</v>
      </c>
    </row>
    <row r="208" spans="1:27" ht="16.5" thickBot="1" x14ac:dyDescent="0.3">
      <c r="A208" s="43"/>
      <c r="B208" s="46"/>
      <c r="C208" s="5">
        <v>1</v>
      </c>
      <c r="D208" s="5">
        <v>16</v>
      </c>
      <c r="E208" s="5">
        <v>160</v>
      </c>
      <c r="F208" s="5">
        <v>16</v>
      </c>
      <c r="G208" s="5">
        <v>1.5940000000000001</v>
      </c>
      <c r="H208" s="5">
        <v>16</v>
      </c>
      <c r="I208" s="13">
        <f>10^3*0.06894757*(2*H208*1.594)/(16*$C$208)</f>
        <v>219.80485316000002</v>
      </c>
      <c r="J208" s="5">
        <v>16</v>
      </c>
      <c r="K208" s="13">
        <f>10^3*0.06894757*(2*J208*1.594)/(16*$C$208)</f>
        <v>219.80485316000002</v>
      </c>
      <c r="L208" s="5">
        <v>16</v>
      </c>
      <c r="M208" s="13">
        <f>10^3*0.06894757*(2*L208*1.594)/(16*$C$208)</f>
        <v>219.80485316000002</v>
      </c>
      <c r="N208" s="5">
        <v>16</v>
      </c>
      <c r="O208" s="13">
        <f>10^3*0.06894757*(2*N208*1.594)/(16*$C$208)</f>
        <v>219.80485316000002</v>
      </c>
      <c r="P208" s="5">
        <v>16</v>
      </c>
      <c r="Q208" s="13">
        <f>10^3*0.06894757*(2*P208*1.594)/(16*$C$208)</f>
        <v>219.80485316000002</v>
      </c>
      <c r="R208" s="5">
        <v>15.3</v>
      </c>
      <c r="S208" s="13">
        <f>10^3*0.06894757*(2*R208*1.594)/(16*$C$208)</f>
        <v>210.18839083425001</v>
      </c>
      <c r="T208" s="5">
        <v>14.6</v>
      </c>
      <c r="U208" s="13">
        <f>10^3*0.06894757*(2*T208*1.594)/(16*$C$208)</f>
        <v>200.57192850850001</v>
      </c>
      <c r="V208" s="5">
        <v>12.5</v>
      </c>
      <c r="W208" s="13">
        <f>10^3*0.06894757*(2*V208*1.594)/(16*$C$208)</f>
        <v>171.72254153125002</v>
      </c>
      <c r="X208" s="5">
        <v>10.7</v>
      </c>
      <c r="Y208" s="13">
        <f>10^3*0.06894757*(2*X208*1.594)/(16*$C$208)</f>
        <v>146.99449555075</v>
      </c>
      <c r="Z208" s="5">
        <v>9.1999999999999993</v>
      </c>
      <c r="AA208" s="14">
        <f>10^3*0.06894757*(2*Z208*1.594)/(16*$C$208)</f>
        <v>126.387790567</v>
      </c>
    </row>
    <row r="209" spans="1:27" x14ac:dyDescent="0.25">
      <c r="A209" s="43"/>
      <c r="B209" s="44" t="s">
        <v>1</v>
      </c>
      <c r="C209" s="3">
        <v>1</v>
      </c>
      <c r="D209" s="3">
        <v>16</v>
      </c>
      <c r="E209" s="3">
        <v>5</v>
      </c>
      <c r="F209" s="19">
        <v>16</v>
      </c>
      <c r="G209" s="3">
        <v>0.16500000000000001</v>
      </c>
      <c r="H209" s="3">
        <v>20</v>
      </c>
      <c r="I209" s="9">
        <f>10^3*0.06894757*(2*H209*0.165)/(16*$C$209)</f>
        <v>28.440872625000001</v>
      </c>
      <c r="J209" s="3">
        <v>20</v>
      </c>
      <c r="K209" s="9">
        <f>10^3*0.06894757*(2*J209*0.165)/(16*$C$203)</f>
        <v>28.440872625000001</v>
      </c>
      <c r="L209" s="3">
        <v>20</v>
      </c>
      <c r="M209" s="9">
        <f>10^3*0.06894757*(2*L209*0.165)/(16*$C$203)</f>
        <v>28.440872625000001</v>
      </c>
      <c r="N209" s="3">
        <v>19.899999999999999</v>
      </c>
      <c r="O209" s="9">
        <f>10^3*0.06894757*(2*N209*0.165)/(16*$C$203)</f>
        <v>28.298668261875001</v>
      </c>
      <c r="P209" s="3">
        <v>19</v>
      </c>
      <c r="Q209" s="9">
        <f>10^3*0.06894757*(2*P209*0.165)/(16*$C$203)</f>
        <v>27.018828993750002</v>
      </c>
      <c r="R209" s="3">
        <v>17.899999999999999</v>
      </c>
      <c r="S209" s="9">
        <f>10^3*0.06894757*(2*R209*0.165)/(16*$C$203)</f>
        <v>25.454580999375001</v>
      </c>
      <c r="T209" s="3">
        <v>17.3</v>
      </c>
      <c r="U209" s="9">
        <f>10^3*0.06894757*(2*T209*0.165)/(16*$C$203)</f>
        <v>24.601354820625001</v>
      </c>
      <c r="V209" s="3">
        <v>16.7</v>
      </c>
      <c r="W209" s="9">
        <f>10^3*0.06894757*(2*V209*0.165)/(16*$C$203)</f>
        <v>23.748128641874999</v>
      </c>
      <c r="X209" s="3">
        <v>13.9</v>
      </c>
      <c r="Y209" s="9">
        <f>10^3*0.06894757*(2*X209*0.165)/(16*$C$203)</f>
        <v>19.766406474375003</v>
      </c>
      <c r="Z209" s="3">
        <v>11.4</v>
      </c>
      <c r="AA209" s="10">
        <f>10^3*0.06894757*(2*Z209*0.165)/(16*$C$203)</f>
        <v>16.21129739625</v>
      </c>
    </row>
    <row r="210" spans="1:27" x14ac:dyDescent="0.25">
      <c r="A210" s="43"/>
      <c r="B210" s="45"/>
      <c r="C210" s="4">
        <v>1</v>
      </c>
      <c r="D210" s="4">
        <v>16</v>
      </c>
      <c r="E210" s="4">
        <v>10</v>
      </c>
      <c r="F210" s="4">
        <v>16</v>
      </c>
      <c r="G210" s="4">
        <v>0.25</v>
      </c>
      <c r="H210" s="4">
        <v>20</v>
      </c>
      <c r="I210" s="11">
        <f>10^3*0.06894757*(2*H210*0.25)/(16*$C$209)</f>
        <v>43.092231249999998</v>
      </c>
      <c r="J210" s="4">
        <v>20</v>
      </c>
      <c r="K210" s="11">
        <f>10^3*0.06894757*(2*J210*0.25)/(16*$C$204)</f>
        <v>43.092231249999998</v>
      </c>
      <c r="L210" s="4">
        <v>20</v>
      </c>
      <c r="M210" s="11">
        <f>10^3*0.06894757*(2*L210*0.25)/(16*$C$204)</f>
        <v>43.092231249999998</v>
      </c>
      <c r="N210" s="4">
        <v>19.899999999999999</v>
      </c>
      <c r="O210" s="11">
        <f>10^3*0.06894757*(2*N210*0.25)/(16*$C$204)</f>
        <v>42.876770093749997</v>
      </c>
      <c r="P210" s="4">
        <v>19</v>
      </c>
      <c r="Q210" s="11">
        <f>10^3*0.06894757*(2*P210*0.25)/(16*$C$204)</f>
        <v>40.937619687499996</v>
      </c>
      <c r="R210" s="4">
        <v>17.899999999999999</v>
      </c>
      <c r="S210" s="11">
        <f>10^3*0.06894757*(2*R210*0.25)/(16*$C$204)</f>
        <v>38.567546968749994</v>
      </c>
      <c r="T210" s="4">
        <v>17.3</v>
      </c>
      <c r="U210" s="11">
        <f>10^3*0.06894757*(2*T210*0.25)/(16*$C$204)</f>
        <v>37.274780031250003</v>
      </c>
      <c r="V210" s="4">
        <v>16.7</v>
      </c>
      <c r="W210" s="11">
        <f>10^3*0.06894757*(2*V210*0.25)/(16*$C$204)</f>
        <v>35.982013093749998</v>
      </c>
      <c r="X210" s="4">
        <v>13.9</v>
      </c>
      <c r="Y210" s="11">
        <f>10^3*0.06894757*(2*X210*0.25)/(16*$C$204)</f>
        <v>29.94910071875</v>
      </c>
      <c r="Z210" s="4">
        <v>11.4</v>
      </c>
      <c r="AA210" s="12">
        <f>10^3*0.06894757*(2*Z210*0.25)/(16*$C$204)</f>
        <v>24.5625718125</v>
      </c>
    </row>
    <row r="211" spans="1:27" x14ac:dyDescent="0.25">
      <c r="A211" s="43"/>
      <c r="B211" s="45"/>
      <c r="C211" s="4">
        <v>1</v>
      </c>
      <c r="D211" s="4">
        <v>16</v>
      </c>
      <c r="E211" s="4">
        <v>30</v>
      </c>
      <c r="F211" s="4">
        <v>16</v>
      </c>
      <c r="G211" s="4">
        <v>0.375</v>
      </c>
      <c r="H211" s="4">
        <v>20</v>
      </c>
      <c r="I211" s="11">
        <f>10^3*0.06894757*(2*H211*0.375)/(16*$C$209)</f>
        <v>64.638346874999996</v>
      </c>
      <c r="J211" s="4">
        <v>20</v>
      </c>
      <c r="K211" s="11">
        <f>10^3*0.06894757*(2*J211*0.375)/(16*$C$205)</f>
        <v>64.638346874999996</v>
      </c>
      <c r="L211" s="4">
        <v>20</v>
      </c>
      <c r="M211" s="11">
        <f>10^3*0.06894757*(2*L211*0.375)/(16*$C$205)</f>
        <v>64.638346874999996</v>
      </c>
      <c r="N211" s="4">
        <v>19.899999999999999</v>
      </c>
      <c r="O211" s="11">
        <f>10^3*0.06894757*(2*N211*0.375)/(16*$C$205)</f>
        <v>64.315155140624995</v>
      </c>
      <c r="P211" s="4">
        <v>19</v>
      </c>
      <c r="Q211" s="11">
        <f>10^3*0.06894757*(2*P211*0.375)/(16*$C$205)</f>
        <v>61.406429531249998</v>
      </c>
      <c r="R211" s="4">
        <v>17.899999999999999</v>
      </c>
      <c r="S211" s="11">
        <f>10^3*0.06894757*(2*R211*0.375)/(16*$C$205)</f>
        <v>57.851320453124991</v>
      </c>
      <c r="T211" s="4">
        <v>17.3</v>
      </c>
      <c r="U211" s="11">
        <f>10^3*0.06894757*(2*T211*0.375)/(16*$C$205)</f>
        <v>55.912170046875005</v>
      </c>
      <c r="V211" s="4">
        <v>16.7</v>
      </c>
      <c r="W211" s="11">
        <f>10^3*0.06894757*(2*V211*0.375)/(16*$C$205)</f>
        <v>53.97301964062499</v>
      </c>
      <c r="X211" s="4">
        <v>13.9</v>
      </c>
      <c r="Y211" s="11">
        <f>10^3*0.06894757*(2*X211*0.375)/(16*$C$205)</f>
        <v>44.923651078125005</v>
      </c>
      <c r="Z211" s="4">
        <v>11.4</v>
      </c>
      <c r="AA211" s="12">
        <f>10^3*0.06894757*(2*Z211*0.375)/(16*$C$205)</f>
        <v>36.843857718750002</v>
      </c>
    </row>
    <row r="212" spans="1:27" x14ac:dyDescent="0.25">
      <c r="A212" s="43"/>
      <c r="B212" s="45"/>
      <c r="C212" s="4">
        <v>1</v>
      </c>
      <c r="D212" s="4">
        <v>16</v>
      </c>
      <c r="E212" s="4">
        <v>40</v>
      </c>
      <c r="F212" s="4">
        <v>16</v>
      </c>
      <c r="G212" s="4">
        <v>0.5</v>
      </c>
      <c r="H212" s="4">
        <v>20</v>
      </c>
      <c r="I212" s="11">
        <f>10^3*0.06894757*(2*H212*0.5)/(16*$C$212)</f>
        <v>86.184462499999995</v>
      </c>
      <c r="J212" s="4">
        <v>20</v>
      </c>
      <c r="K212" s="11">
        <f>10^3*0.06894757*(2*J212*0.5)/(16*$C$206)</f>
        <v>86.184462499999995</v>
      </c>
      <c r="L212" s="4">
        <v>20</v>
      </c>
      <c r="M212" s="11">
        <f>10^3*0.06894757*(2*L212*0.5)/(16*$C$206)</f>
        <v>86.184462499999995</v>
      </c>
      <c r="N212" s="4">
        <v>19.899999999999999</v>
      </c>
      <c r="O212" s="11">
        <f>10^3*0.06894757*(2*N212*0.5)/(16*$C$206)</f>
        <v>85.753540187499993</v>
      </c>
      <c r="P212" s="4">
        <v>19</v>
      </c>
      <c r="Q212" s="11">
        <f>10^3*0.06894757*(2*P212*0.5)/(16*$C$206)</f>
        <v>81.875239374999992</v>
      </c>
      <c r="R212" s="4">
        <v>17.899999999999999</v>
      </c>
      <c r="S212" s="11">
        <f>10^3*0.06894757*(2*R212*0.5)/(16*$C$206)</f>
        <v>77.135093937499988</v>
      </c>
      <c r="T212" s="4">
        <v>17.3</v>
      </c>
      <c r="U212" s="11">
        <f>10^3*0.06894757*(2*T212*0.5)/(16*$C$206)</f>
        <v>74.549560062500007</v>
      </c>
      <c r="V212" s="4">
        <v>16.7</v>
      </c>
      <c r="W212" s="11">
        <f>10^3*0.06894757*(2*V212*0.5)/(16*$C$206)</f>
        <v>71.964026187499996</v>
      </c>
      <c r="X212" s="4">
        <v>13.9</v>
      </c>
      <c r="Y212" s="11">
        <f>10^3*0.06894757*(2*X212*0.5)/(16*$C$206)</f>
        <v>59.898201437499999</v>
      </c>
      <c r="Z212" s="4">
        <v>11.4</v>
      </c>
      <c r="AA212" s="12">
        <f>10^3*0.06894757*(2*Z212*0.5)/(16*$C$206)</f>
        <v>49.125143625</v>
      </c>
    </row>
    <row r="213" spans="1:27" x14ac:dyDescent="0.25">
      <c r="A213" s="43"/>
      <c r="B213" s="45"/>
      <c r="C213" s="4">
        <v>1</v>
      </c>
      <c r="D213" s="4">
        <v>16</v>
      </c>
      <c r="E213" s="4">
        <v>80</v>
      </c>
      <c r="F213" s="4">
        <v>16</v>
      </c>
      <c r="G213" s="4">
        <v>0.84399999999999997</v>
      </c>
      <c r="H213" s="4">
        <v>20</v>
      </c>
      <c r="I213" s="11">
        <f>10^3*0.06894757*(2*H213*0.844)/(16*$C$213)</f>
        <v>145.4793727</v>
      </c>
      <c r="J213" s="4">
        <v>20</v>
      </c>
      <c r="K213" s="11">
        <f>10^3*0.06894757*(2*J213*0.844)/(16*$C$207)</f>
        <v>145.4793727</v>
      </c>
      <c r="L213" s="4">
        <v>20</v>
      </c>
      <c r="M213" s="11">
        <f>10^3*0.06894757*(2*L213*0.844)/(16*$C$207)</f>
        <v>145.4793727</v>
      </c>
      <c r="N213" s="4">
        <v>19.899999999999999</v>
      </c>
      <c r="O213" s="11">
        <f>10^3*0.06894757*(2*N213*0.844)/(16*$C$207)</f>
        <v>144.75197583649998</v>
      </c>
      <c r="P213" s="4">
        <v>19</v>
      </c>
      <c r="Q213" s="11">
        <f>10^3*0.06894757*(2*P213*0.844)/(16*$C$207)</f>
        <v>138.20540406499998</v>
      </c>
      <c r="R213" s="4">
        <v>17.899999999999999</v>
      </c>
      <c r="S213" s="11">
        <f>10^3*0.06894757*(2*R213*0.844)/(16*$C$207)</f>
        <v>130.20403856649997</v>
      </c>
      <c r="T213" s="4">
        <v>17.3</v>
      </c>
      <c r="U213" s="11">
        <f>10^3*0.06894757*(2*T213*0.844)/(16*$C$207)</f>
        <v>125.8396573855</v>
      </c>
      <c r="V213" s="4">
        <v>16.7</v>
      </c>
      <c r="W213" s="11">
        <f>10^3*0.06894757*(2*V213*0.844)/(16*$C$207)</f>
        <v>121.47527620449999</v>
      </c>
      <c r="X213" s="4">
        <v>13.9</v>
      </c>
      <c r="Y213" s="11">
        <f>10^3*0.06894757*(2*X213*0.844)/(16*$C$207)</f>
        <v>101.10816402650001</v>
      </c>
      <c r="Z213" s="4">
        <v>11.4</v>
      </c>
      <c r="AA213" s="12">
        <f>10^3*0.06894757*(2*Z213*0.844)/(16*$C$207)</f>
        <v>82.923242439000006</v>
      </c>
    </row>
    <row r="214" spans="1:27" ht="16.5" thickBot="1" x14ac:dyDescent="0.3">
      <c r="A214" s="43"/>
      <c r="B214" s="46"/>
      <c r="C214" s="5">
        <v>1</v>
      </c>
      <c r="D214" s="5">
        <v>16</v>
      </c>
      <c r="E214" s="5">
        <v>160</v>
      </c>
      <c r="F214" s="5">
        <v>16</v>
      </c>
      <c r="G214" s="5">
        <v>1.5940000000000001</v>
      </c>
      <c r="H214" s="5">
        <v>20</v>
      </c>
      <c r="I214" s="13">
        <f>10^3*0.06894757*(2*H214*1.594)/(16*$C$214)</f>
        <v>274.75606644999999</v>
      </c>
      <c r="J214" s="5">
        <v>20</v>
      </c>
      <c r="K214" s="13">
        <f>10^3*0.06894757*(2*J214*1.594)/(16*$C$208)</f>
        <v>274.75606644999999</v>
      </c>
      <c r="L214" s="5">
        <v>20</v>
      </c>
      <c r="M214" s="13">
        <f>10^3*0.06894757*(2*L214*1.594)/(16*$C$208)</f>
        <v>274.75606644999999</v>
      </c>
      <c r="N214" s="5">
        <v>19.899999999999999</v>
      </c>
      <c r="O214" s="13">
        <f>10^3*0.06894757*(2*N214*1.594)/(16*$C$208)</f>
        <v>273.38228611775003</v>
      </c>
      <c r="P214" s="5">
        <v>19</v>
      </c>
      <c r="Q214" s="13">
        <f>10^3*0.06894757*(2*P214*1.594)/(16*$C$208)</f>
        <v>261.01826312750001</v>
      </c>
      <c r="R214" s="5">
        <v>17.899999999999999</v>
      </c>
      <c r="S214" s="13">
        <f>10^3*0.06894757*(2*R214*1.594)/(16*$C$208)</f>
        <v>245.90667947274997</v>
      </c>
      <c r="T214" s="5">
        <v>17.3</v>
      </c>
      <c r="U214" s="13">
        <f>10^3*0.06894757*(2*T214*1.594)/(16*$C$208)</f>
        <v>237.66399747925001</v>
      </c>
      <c r="V214" s="5">
        <v>16.7</v>
      </c>
      <c r="W214" s="13">
        <f>10^3*0.06894757*(2*V214*1.594)/(16*$C$208)</f>
        <v>229.42131548575</v>
      </c>
      <c r="X214" s="5">
        <v>13.9</v>
      </c>
      <c r="Y214" s="13">
        <f>10^3*0.06894757*(2*X214*1.594)/(16*$C$208)</f>
        <v>190.95546618275</v>
      </c>
      <c r="Z214" s="5">
        <v>11.4</v>
      </c>
      <c r="AA214" s="14">
        <f>10^3*0.06894757*(2*Z214*1.594)/(16*$C$208)</f>
        <v>156.61095787650001</v>
      </c>
    </row>
    <row r="215" spans="1:27" x14ac:dyDescent="0.25">
      <c r="A215" s="43"/>
      <c r="B215" s="44" t="s">
        <v>6</v>
      </c>
      <c r="C215" s="3">
        <v>1</v>
      </c>
      <c r="D215" s="3">
        <v>16</v>
      </c>
      <c r="E215" s="3">
        <v>5</v>
      </c>
      <c r="F215" s="19">
        <v>16</v>
      </c>
      <c r="G215" s="3">
        <v>0.16500000000000001</v>
      </c>
      <c r="H215" s="6">
        <v>23.3</v>
      </c>
      <c r="I215" s="9">
        <f>10^3*0.06894757*(2*H215*0.165)/(16*$C$215)</f>
        <v>33.133616608125003</v>
      </c>
      <c r="J215" s="6">
        <v>23.3</v>
      </c>
      <c r="K215" s="9">
        <f>10^3*0.06894757*(2*J215*0.165)/(16*$C$215)</f>
        <v>33.133616608125003</v>
      </c>
      <c r="L215" s="6">
        <v>23.3</v>
      </c>
      <c r="M215" s="9">
        <f>10^3*0.06894757*(2*L215*0.165)/(16*$C$215)</f>
        <v>33.133616608125003</v>
      </c>
      <c r="N215" s="6">
        <v>22.8</v>
      </c>
      <c r="O215" s="9">
        <f>10^3*0.06894757*(2*N215*0.165)/(16*$C$215)</f>
        <v>32.4225947925</v>
      </c>
      <c r="P215" s="6">
        <v>21.7</v>
      </c>
      <c r="Q215" s="9">
        <f>10^3*0.06894757*(2*P215*0.165)/(16*$C$215)</f>
        <v>30.858346798125002</v>
      </c>
      <c r="R215" s="6">
        <v>20.399999999999999</v>
      </c>
      <c r="S215" s="9">
        <f>10^3*0.06894757*(2*R215*0.165)/(16*$C$215)</f>
        <v>29.0096900775</v>
      </c>
      <c r="T215" s="6">
        <v>19.8</v>
      </c>
      <c r="U215" s="9">
        <f>10^3*0.06894757*(2*T215*0.165)/(16*$C$215)</f>
        <v>28.156463898750001</v>
      </c>
      <c r="V215" s="6">
        <v>18.3</v>
      </c>
      <c r="W215" s="9">
        <f>10^3*0.06894757*(2*V215*0.165)/(16*$C$215)</f>
        <v>26.023398451875003</v>
      </c>
      <c r="X215" s="6">
        <v>14.8</v>
      </c>
      <c r="Y215" s="9">
        <f>10^3*0.06894757*(2*X215*0.165)/(16*$C$215)</f>
        <v>21.046245742500002</v>
      </c>
      <c r="Z215" s="6">
        <v>12</v>
      </c>
      <c r="AA215" s="10">
        <f>10^3*0.06894757*(2*Z215*0.165)/(16*$C$215)</f>
        <v>17.064523574999999</v>
      </c>
    </row>
    <row r="216" spans="1:27" x14ac:dyDescent="0.25">
      <c r="A216" s="43"/>
      <c r="B216" s="45"/>
      <c r="C216" s="4">
        <v>1</v>
      </c>
      <c r="D216" s="4">
        <v>16</v>
      </c>
      <c r="E216" s="4">
        <v>10</v>
      </c>
      <c r="F216" s="4">
        <v>16</v>
      </c>
      <c r="G216" s="4">
        <v>0.25</v>
      </c>
      <c r="H216" s="7">
        <v>23.3</v>
      </c>
      <c r="I216" s="11">
        <f>10^3*0.06894757*(2*H216*0.25)/(16*$C$216)</f>
        <v>50.202449406250004</v>
      </c>
      <c r="J216" s="7">
        <v>23.3</v>
      </c>
      <c r="K216" s="11">
        <f>10^3*0.06894757*(2*J216*0.25)/(16*$C$216)</f>
        <v>50.202449406250004</v>
      </c>
      <c r="L216" s="7">
        <v>23.3</v>
      </c>
      <c r="M216" s="11">
        <f>10^3*0.06894757*(2*L216*0.25)/(16*$C$216)</f>
        <v>50.202449406250004</v>
      </c>
      <c r="N216" s="7">
        <v>22.8</v>
      </c>
      <c r="O216" s="11">
        <f>10^3*0.06894757*(2*N216*0.25)/(16*$C$216)</f>
        <v>49.125143625</v>
      </c>
      <c r="P216" s="7">
        <v>21.7</v>
      </c>
      <c r="Q216" s="11">
        <f>10^3*0.06894757*(2*P216*0.25)/(16*$C$216)</f>
        <v>46.755070906249998</v>
      </c>
      <c r="R216" s="7">
        <v>20.399999999999999</v>
      </c>
      <c r="S216" s="11">
        <f>10^3*0.06894757*(2*R216*0.25)/(16*$C$216)</f>
        <v>43.954075874999994</v>
      </c>
      <c r="T216" s="7">
        <v>19.8</v>
      </c>
      <c r="U216" s="11">
        <f>10^3*0.06894757*(2*T216*0.25)/(16*$C$216)</f>
        <v>42.661308937500003</v>
      </c>
      <c r="V216" s="7">
        <v>18.3</v>
      </c>
      <c r="W216" s="11">
        <f>10^3*0.06894757*(2*V216*0.25)/(16*$C$216)</f>
        <v>39.429391593749997</v>
      </c>
      <c r="X216" s="7">
        <v>14.8</v>
      </c>
      <c r="Y216" s="11">
        <f>10^3*0.06894757*(2*X216*0.25)/(16*$C$216)</f>
        <v>31.888251125</v>
      </c>
      <c r="Z216" s="7">
        <v>12</v>
      </c>
      <c r="AA216" s="12">
        <f>10^3*0.06894757*(2*Z216*0.25)/(16*$C$216)</f>
        <v>25.855338750000001</v>
      </c>
    </row>
    <row r="217" spans="1:27" x14ac:dyDescent="0.25">
      <c r="A217" s="43"/>
      <c r="B217" s="45"/>
      <c r="C217" s="4">
        <v>1</v>
      </c>
      <c r="D217" s="4">
        <v>16</v>
      </c>
      <c r="E217" s="4">
        <v>30</v>
      </c>
      <c r="F217" s="4">
        <v>16</v>
      </c>
      <c r="G217" s="4">
        <v>0.375</v>
      </c>
      <c r="H217" s="7">
        <v>23.3</v>
      </c>
      <c r="I217" s="11">
        <f>10^3*0.06894757*(2*H217*0.375)/(16*$C$217)</f>
        <v>75.303674109375009</v>
      </c>
      <c r="J217" s="7">
        <v>23.3</v>
      </c>
      <c r="K217" s="11">
        <f>10^3*0.06894757*(2*J217*0.375)/(16*$C$217)</f>
        <v>75.303674109375009</v>
      </c>
      <c r="L217" s="7">
        <v>23.3</v>
      </c>
      <c r="M217" s="11">
        <f>10^3*0.06894757*(2*L217*0.375)/(16*$C$217)</f>
        <v>75.303674109375009</v>
      </c>
      <c r="N217" s="7">
        <v>22.8</v>
      </c>
      <c r="O217" s="11">
        <f>10^3*0.06894757*(2*N217*0.375)/(16*$C$217)</f>
        <v>73.687715437500003</v>
      </c>
      <c r="P217" s="7">
        <v>21.7</v>
      </c>
      <c r="Q217" s="11">
        <f>10^3*0.06894757*(2*P217*0.375)/(16*$C$217)</f>
        <v>70.132606359374989</v>
      </c>
      <c r="R217" s="7">
        <v>20.399999999999999</v>
      </c>
      <c r="S217" s="11">
        <f>10^3*0.06894757*(2*R217*0.375)/(16*$C$217)</f>
        <v>65.931113812500001</v>
      </c>
      <c r="T217" s="7">
        <v>19.8</v>
      </c>
      <c r="U217" s="11">
        <f>10^3*0.06894757*(2*T217*0.375)/(16*$C$217)</f>
        <v>63.991963406250008</v>
      </c>
      <c r="V217" s="7">
        <v>18.3</v>
      </c>
      <c r="W217" s="11">
        <f>10^3*0.06894757*(2*V217*0.375)/(16*$C$217)</f>
        <v>59.144087390625003</v>
      </c>
      <c r="X217" s="7">
        <v>14.8</v>
      </c>
      <c r="Y217" s="11">
        <f>10^3*0.06894757*(2*X217*0.375)/(16*$C$217)</f>
        <v>47.832376687500002</v>
      </c>
      <c r="Z217" s="7">
        <v>12</v>
      </c>
      <c r="AA217" s="12">
        <f>10^3*0.06894757*(2*Z217*0.375)/(16*$C$217)</f>
        <v>38.783008125000002</v>
      </c>
    </row>
    <row r="218" spans="1:27" x14ac:dyDescent="0.25">
      <c r="A218" s="43"/>
      <c r="B218" s="45"/>
      <c r="C218" s="4">
        <v>1</v>
      </c>
      <c r="D218" s="4">
        <v>16</v>
      </c>
      <c r="E218" s="4">
        <v>40</v>
      </c>
      <c r="F218" s="4">
        <v>16</v>
      </c>
      <c r="G218" s="4">
        <v>0.5</v>
      </c>
      <c r="H218" s="7">
        <v>23.3</v>
      </c>
      <c r="I218" s="11">
        <f>10^3*0.06894757*(2*H218*0.5)/(16*$C$218)</f>
        <v>100.40489881250001</v>
      </c>
      <c r="J218" s="7">
        <v>23.3</v>
      </c>
      <c r="K218" s="11">
        <f>10^3*0.06894757*(2*J218*0.5)/(16*$C$218)</f>
        <v>100.40489881250001</v>
      </c>
      <c r="L218" s="7">
        <v>23.3</v>
      </c>
      <c r="M218" s="11">
        <f>10^3*0.06894757*(2*L218*0.5)/(16*$C$218)</f>
        <v>100.40489881250001</v>
      </c>
      <c r="N218" s="7">
        <v>22.8</v>
      </c>
      <c r="O218" s="11">
        <f>10^3*0.06894757*(2*N218*0.5)/(16*$C$218)</f>
        <v>98.25028725</v>
      </c>
      <c r="P218" s="7">
        <v>21.7</v>
      </c>
      <c r="Q218" s="11">
        <f>10^3*0.06894757*(2*P218*0.5)/(16*$C$218)</f>
        <v>93.510141812499995</v>
      </c>
      <c r="R218" s="7">
        <v>20.399999999999999</v>
      </c>
      <c r="S218" s="11">
        <f>10^3*0.06894757*(2*R218*0.5)/(16*$C$218)</f>
        <v>87.908151749999988</v>
      </c>
      <c r="T218" s="7">
        <v>19.8</v>
      </c>
      <c r="U218" s="11">
        <f>10^3*0.06894757*(2*T218*0.5)/(16*$C$218)</f>
        <v>85.322617875000006</v>
      </c>
      <c r="V218" s="7">
        <v>18.3</v>
      </c>
      <c r="W218" s="11">
        <f>10^3*0.06894757*(2*V218*0.5)/(16*$C$218)</f>
        <v>78.858783187499995</v>
      </c>
      <c r="X218" s="7">
        <v>14.8</v>
      </c>
      <c r="Y218" s="11">
        <f>10^3*0.06894757*(2*X218*0.5)/(16*$C$218)</f>
        <v>63.77650225</v>
      </c>
      <c r="Z218" s="7">
        <v>12</v>
      </c>
      <c r="AA218" s="12">
        <f>10^3*0.06894757*(2*Z218*0.5)/(16*$C$218)</f>
        <v>51.710677500000003</v>
      </c>
    </row>
    <row r="219" spans="1:27" x14ac:dyDescent="0.25">
      <c r="A219" s="43"/>
      <c r="B219" s="45"/>
      <c r="C219" s="4">
        <v>1</v>
      </c>
      <c r="D219" s="4">
        <v>16</v>
      </c>
      <c r="E219" s="4">
        <v>80</v>
      </c>
      <c r="F219" s="4">
        <v>16</v>
      </c>
      <c r="G219" s="4">
        <v>0.84399999999999997</v>
      </c>
      <c r="H219" s="7">
        <v>23.3</v>
      </c>
      <c r="I219" s="11">
        <f>10^3*0.06894757*(2*H219*0.844)/(16*$C$219)</f>
        <v>169.48346919549999</v>
      </c>
      <c r="J219" s="7">
        <v>23.3</v>
      </c>
      <c r="K219" s="11">
        <f>10^3*0.06894757*(2*J219*0.844)/(16*$C$219)</f>
        <v>169.48346919549999</v>
      </c>
      <c r="L219" s="7">
        <v>23.3</v>
      </c>
      <c r="M219" s="11">
        <f>10^3*0.06894757*(2*L219*0.844)/(16*$C$219)</f>
        <v>169.48346919549999</v>
      </c>
      <c r="N219" s="7">
        <v>22.8</v>
      </c>
      <c r="O219" s="11">
        <f>10^3*0.06894757*(2*N219*0.844)/(16*$C$219)</f>
        <v>165.84648487800001</v>
      </c>
      <c r="P219" s="7">
        <v>21.7</v>
      </c>
      <c r="Q219" s="11">
        <f>10^3*0.06894757*(2*P219*0.844)/(16*$C$219)</f>
        <v>157.84511937949998</v>
      </c>
      <c r="R219" s="7">
        <v>20.399999999999999</v>
      </c>
      <c r="S219" s="11">
        <f>10^3*0.06894757*(2*R219*0.844)/(16*$C$219)</f>
        <v>148.38896015399999</v>
      </c>
      <c r="T219" s="7">
        <v>19.8</v>
      </c>
      <c r="U219" s="11">
        <f>10^3*0.06894757*(2*T219*0.844)/(16*$C$219)</f>
        <v>144.02457897300002</v>
      </c>
      <c r="V219" s="7">
        <v>18.3</v>
      </c>
      <c r="W219" s="11">
        <f>10^3*0.06894757*(2*V219*0.844)/(16*$C$219)</f>
        <v>133.11362602049999</v>
      </c>
      <c r="X219" s="7">
        <v>14.8</v>
      </c>
      <c r="Y219" s="11">
        <f>10^3*0.06894757*(2*X219*0.844)/(16*$C$219)</f>
        <v>107.654735798</v>
      </c>
      <c r="Z219" s="7">
        <v>12</v>
      </c>
      <c r="AA219" s="12">
        <f>10^3*0.06894757*(2*Z219*0.844)/(16*$C$219)</f>
        <v>87.287623620000005</v>
      </c>
    </row>
    <row r="220" spans="1:27" ht="16.5" thickBot="1" x14ac:dyDescent="0.3">
      <c r="A220" s="43"/>
      <c r="B220" s="46"/>
      <c r="C220" s="5">
        <v>1</v>
      </c>
      <c r="D220" s="5">
        <v>16</v>
      </c>
      <c r="E220" s="5">
        <v>160</v>
      </c>
      <c r="F220" s="5">
        <v>16</v>
      </c>
      <c r="G220" s="5">
        <v>1.5940000000000001</v>
      </c>
      <c r="H220" s="8">
        <v>23.3</v>
      </c>
      <c r="I220" s="13">
        <f>10^3*0.06894757*(2*H220*1.594)/(16*$C$220)</f>
        <v>320.09081741425001</v>
      </c>
      <c r="J220" s="8">
        <v>23.3</v>
      </c>
      <c r="K220" s="13">
        <f>10^3*0.06894757*(2*J220*1.594)/(16*$C$220)</f>
        <v>320.09081741425001</v>
      </c>
      <c r="L220" s="8">
        <v>23.3</v>
      </c>
      <c r="M220" s="13">
        <f>10^3*0.06894757*(2*L220*1.594)/(16*$C$220)</f>
        <v>320.09081741425001</v>
      </c>
      <c r="N220" s="8">
        <v>22.8</v>
      </c>
      <c r="O220" s="13">
        <f>10^3*0.06894757*(2*N220*1.594)/(16*$C$220)</f>
        <v>313.22191575300002</v>
      </c>
      <c r="P220" s="8">
        <v>21.7</v>
      </c>
      <c r="Q220" s="13">
        <f>10^3*0.06894757*(2*P220*1.594)/(16*$C$220)</f>
        <v>298.11033209825001</v>
      </c>
      <c r="R220" s="8">
        <v>20.399999999999999</v>
      </c>
      <c r="S220" s="13">
        <f>10^3*0.06894757*(2*R220*1.594)/(16*$C$220)</f>
        <v>280.25118777900002</v>
      </c>
      <c r="T220" s="8">
        <v>19.8</v>
      </c>
      <c r="U220" s="13">
        <f>10^3*0.06894757*(2*T220*1.594)/(16*$C$220)</f>
        <v>272.00850578550001</v>
      </c>
      <c r="V220" s="8">
        <v>18.3</v>
      </c>
      <c r="W220" s="13">
        <f>10^3*0.06894757*(2*V220*1.594)/(16*$C$220)</f>
        <v>251.40180080175</v>
      </c>
      <c r="X220" s="8">
        <v>14.8</v>
      </c>
      <c r="Y220" s="13">
        <f>10^3*0.06894757*(2*X220*1.594)/(16*$C$220)</f>
        <v>203.31948917299999</v>
      </c>
      <c r="Z220" s="8">
        <v>12</v>
      </c>
      <c r="AA220" s="14">
        <f>10^3*0.06894757*(2*Z220*1.594)/(16*$C$220)</f>
        <v>164.85363986999999</v>
      </c>
    </row>
    <row r="221" spans="1:27" x14ac:dyDescent="0.25">
      <c r="A221" s="43" t="s">
        <v>5</v>
      </c>
      <c r="B221" s="44" t="s">
        <v>2</v>
      </c>
      <c r="C221" s="3">
        <v>1</v>
      </c>
      <c r="D221" s="3">
        <v>18</v>
      </c>
      <c r="E221" s="3">
        <v>5</v>
      </c>
      <c r="F221" s="19">
        <v>18</v>
      </c>
      <c r="G221" s="3">
        <v>0.16500000000000001</v>
      </c>
      <c r="H221" s="3">
        <v>16</v>
      </c>
      <c r="I221" s="9">
        <f>10^3*0.06894757*(2*H221*0.165)/(18*$C$221)</f>
        <v>20.224620533333333</v>
      </c>
      <c r="J221" s="3">
        <v>16</v>
      </c>
      <c r="K221" s="9">
        <f>10^3*0.06894757*(2*J221*0.165)/(18*$C$221)</f>
        <v>20.224620533333333</v>
      </c>
      <c r="L221" s="3">
        <v>16</v>
      </c>
      <c r="M221" s="9">
        <f>10^3*0.06894757*(2*L221*0.165)/(18*$C$221)</f>
        <v>20.224620533333333</v>
      </c>
      <c r="N221" s="3">
        <v>16</v>
      </c>
      <c r="O221" s="9">
        <f>10^3*0.06894757*(2*N221*0.165)/(18*$C$221)</f>
        <v>20.224620533333333</v>
      </c>
      <c r="P221" s="3">
        <v>16</v>
      </c>
      <c r="Q221" s="9">
        <f>10^3*0.06894757*(2*P221*0.165)/(18*$C$221)</f>
        <v>20.224620533333333</v>
      </c>
      <c r="R221" s="3">
        <v>15.3</v>
      </c>
      <c r="S221" s="9">
        <f>10^3*0.06894757*(2*R221*0.165)/(18*$C$221)</f>
        <v>19.339793385</v>
      </c>
      <c r="T221" s="3">
        <v>14.6</v>
      </c>
      <c r="U221" s="9">
        <f>10^3*0.06894757*(2*T221*0.165)/(18*$C$221)</f>
        <v>18.454966236666667</v>
      </c>
      <c r="V221" s="3">
        <v>12.5</v>
      </c>
      <c r="W221" s="9">
        <f>10^3*0.06894757*(2*V221*0.165)/(18*$C$221)</f>
        <v>15.800484791666666</v>
      </c>
      <c r="X221" s="3">
        <v>10.7</v>
      </c>
      <c r="Y221" s="9">
        <f>10^3*0.06894757*(2*X221*0.165)/(18*$C$221)</f>
        <v>13.525214981666668</v>
      </c>
      <c r="Z221" s="3">
        <v>9.1999999999999993</v>
      </c>
      <c r="AA221" s="10">
        <f>10^3*0.06894757*(2*Z221*0.165)/(18*$C$221)</f>
        <v>11.629156806666666</v>
      </c>
    </row>
    <row r="222" spans="1:27" x14ac:dyDescent="0.25">
      <c r="A222" s="43"/>
      <c r="B222" s="45"/>
      <c r="C222" s="4">
        <v>1</v>
      </c>
      <c r="D222" s="4">
        <v>18</v>
      </c>
      <c r="E222" s="4">
        <v>10</v>
      </c>
      <c r="F222" s="4">
        <v>18</v>
      </c>
      <c r="G222" s="4">
        <v>0.25</v>
      </c>
      <c r="H222" s="4">
        <v>16</v>
      </c>
      <c r="I222" s="11">
        <f>10^3*0.06894757*(2*H222*0.25)/(18*$C$222)</f>
        <v>30.643364444444444</v>
      </c>
      <c r="J222" s="4">
        <v>16</v>
      </c>
      <c r="K222" s="11">
        <f>10^3*0.06894757*(2*J222*0.25)/(18*$C$222)</f>
        <v>30.643364444444444</v>
      </c>
      <c r="L222" s="4">
        <v>16</v>
      </c>
      <c r="M222" s="11">
        <f>10^3*0.06894757*(2*L222*0.25)/(18*$C$222)</f>
        <v>30.643364444444444</v>
      </c>
      <c r="N222" s="4">
        <v>16</v>
      </c>
      <c r="O222" s="11">
        <f>10^3*0.06894757*(2*N222*0.25)/(18*$C$222)</f>
        <v>30.643364444444444</v>
      </c>
      <c r="P222" s="4">
        <v>16</v>
      </c>
      <c r="Q222" s="11">
        <f>10^3*0.06894757*(2*P222*0.25)/(18*$C$222)</f>
        <v>30.643364444444444</v>
      </c>
      <c r="R222" s="4">
        <v>15.3</v>
      </c>
      <c r="S222" s="11">
        <f>10^3*0.06894757*(2*R222*0.25)/(18*$C$222)</f>
        <v>29.302717250000001</v>
      </c>
      <c r="T222" s="4">
        <v>14.6</v>
      </c>
      <c r="U222" s="11">
        <f>10^3*0.06894757*(2*T222*0.25)/(18*$C$222)</f>
        <v>27.962070055555554</v>
      </c>
      <c r="V222" s="4">
        <v>12.5</v>
      </c>
      <c r="W222" s="11">
        <f>10^3*0.06894757*(2*V222*0.25)/(18*$C$222)</f>
        <v>23.94012847222222</v>
      </c>
      <c r="X222" s="4">
        <v>10.7</v>
      </c>
      <c r="Y222" s="11">
        <f>10^3*0.06894757*(2*X222*0.25)/(18*$C$222)</f>
        <v>20.492749972222221</v>
      </c>
      <c r="Z222" s="4">
        <v>9.1999999999999993</v>
      </c>
      <c r="AA222" s="12">
        <f>10^3*0.06894757*(2*Z222*0.25)/(18*$C$222)</f>
        <v>17.619934555555556</v>
      </c>
    </row>
    <row r="223" spans="1:27" x14ac:dyDescent="0.25">
      <c r="A223" s="43"/>
      <c r="B223" s="45"/>
      <c r="C223" s="4">
        <v>1</v>
      </c>
      <c r="D223" s="4">
        <v>18</v>
      </c>
      <c r="E223" s="4">
        <v>30</v>
      </c>
      <c r="F223" s="4">
        <v>18</v>
      </c>
      <c r="G223" s="4">
        <v>0.438</v>
      </c>
      <c r="H223" s="4">
        <v>16</v>
      </c>
      <c r="I223" s="11">
        <f>10^3*0.06894757*(2*H223*0.438)/(18*$C$223)</f>
        <v>53.687174506666665</v>
      </c>
      <c r="J223" s="4">
        <v>16</v>
      </c>
      <c r="K223" s="11">
        <f>10^3*0.06894757*(2*J223*0.438)/(18*$C$223)</f>
        <v>53.687174506666665</v>
      </c>
      <c r="L223" s="4">
        <v>16</v>
      </c>
      <c r="M223" s="11">
        <f>10^3*0.06894757*(2*L223*0.438)/(18*$C$223)</f>
        <v>53.687174506666665</v>
      </c>
      <c r="N223" s="4">
        <v>16</v>
      </c>
      <c r="O223" s="11">
        <f>10^3*0.06894757*(2*N223*0.438)/(18*$C$223)</f>
        <v>53.687174506666665</v>
      </c>
      <c r="P223" s="4">
        <v>16</v>
      </c>
      <c r="Q223" s="11">
        <f>10^3*0.06894757*(2*P223*0.438)/(18*$C$223)</f>
        <v>53.687174506666665</v>
      </c>
      <c r="R223" s="4">
        <v>15.3</v>
      </c>
      <c r="S223" s="11">
        <f>10^3*0.06894757*(2*R223*0.438)/(18*$C$223)</f>
        <v>51.338360622000003</v>
      </c>
      <c r="T223" s="4">
        <v>14.6</v>
      </c>
      <c r="U223" s="11">
        <f>10^3*0.06894757*(2*T223*0.438)/(18*$C$223)</f>
        <v>48.989546737333335</v>
      </c>
      <c r="V223" s="4">
        <v>12.5</v>
      </c>
      <c r="W223" s="11">
        <f>10^3*0.06894757*(2*V223*0.438)/(18*$C$223)</f>
        <v>41.943105083333336</v>
      </c>
      <c r="X223" s="4">
        <v>10.7</v>
      </c>
      <c r="Y223" s="11">
        <f>10^3*0.06894757*(2*X223*0.438)/(18*$C$223)</f>
        <v>35.903297951333329</v>
      </c>
      <c r="Z223" s="4">
        <v>9.1999999999999993</v>
      </c>
      <c r="AA223" s="12">
        <f>10^3*0.06894757*(2*Z223*0.438)/(18*$C$223)</f>
        <v>30.870125341333328</v>
      </c>
    </row>
    <row r="224" spans="1:27" x14ac:dyDescent="0.25">
      <c r="A224" s="43"/>
      <c r="B224" s="45"/>
      <c r="C224" s="4">
        <v>1</v>
      </c>
      <c r="D224" s="4">
        <v>18</v>
      </c>
      <c r="E224" s="4">
        <v>40</v>
      </c>
      <c r="F224" s="4">
        <v>18</v>
      </c>
      <c r="G224" s="4">
        <v>0.56200000000000006</v>
      </c>
      <c r="H224" s="4">
        <v>16</v>
      </c>
      <c r="I224" s="11">
        <f>10^3*0.06894757*(2*H224*0.562)/(18*$C$224)</f>
        <v>68.886283271111125</v>
      </c>
      <c r="J224" s="4">
        <v>16</v>
      </c>
      <c r="K224" s="11">
        <f>10^3*0.06894757*(2*J224*0.562)/(18*$C$224)</f>
        <v>68.886283271111125</v>
      </c>
      <c r="L224" s="4">
        <v>16</v>
      </c>
      <c r="M224" s="11">
        <f>10^3*0.06894757*(2*L224*0.562)/(18*$C$224)</f>
        <v>68.886283271111125</v>
      </c>
      <c r="N224" s="4">
        <v>16</v>
      </c>
      <c r="O224" s="11">
        <f>10^3*0.06894757*(2*N224*0.562)/(18*$C$224)</f>
        <v>68.886283271111125</v>
      </c>
      <c r="P224" s="4">
        <v>16</v>
      </c>
      <c r="Q224" s="11">
        <f>10^3*0.06894757*(2*P224*0.562)/(18*$C$224)</f>
        <v>68.886283271111125</v>
      </c>
      <c r="R224" s="4">
        <v>15.3</v>
      </c>
      <c r="S224" s="11">
        <f>10^3*0.06894757*(2*R224*0.562)/(18*$C$224)</f>
        <v>65.872508378000006</v>
      </c>
      <c r="T224" s="4">
        <v>14.6</v>
      </c>
      <c r="U224" s="11">
        <f>10^3*0.06894757*(2*T224*0.562)/(18*$C$224)</f>
        <v>62.858733484888894</v>
      </c>
      <c r="V224" s="4">
        <v>12.5</v>
      </c>
      <c r="W224" s="11">
        <f>10^3*0.06894757*(2*V224*0.562)/(18*$C$224)</f>
        <v>53.817408805555559</v>
      </c>
      <c r="X224" s="4">
        <v>10.7</v>
      </c>
      <c r="Y224" s="11">
        <f>10^3*0.06894757*(2*X224*0.562)/(18*$C$224)</f>
        <v>46.067701937555555</v>
      </c>
      <c r="Z224" s="4">
        <v>9.1999999999999993</v>
      </c>
      <c r="AA224" s="12">
        <f>10^3*0.06894757*(2*Z224*0.562)/(18*$C$224)</f>
        <v>39.609612880888882</v>
      </c>
    </row>
    <row r="225" spans="1:27" x14ac:dyDescent="0.25">
      <c r="A225" s="43"/>
      <c r="B225" s="45"/>
      <c r="C225" s="4">
        <v>1</v>
      </c>
      <c r="D225" s="4">
        <v>18</v>
      </c>
      <c r="E225" s="4">
        <v>80</v>
      </c>
      <c r="F225" s="4">
        <v>18</v>
      </c>
      <c r="G225" s="4">
        <v>0.93799999999999994</v>
      </c>
      <c r="H225" s="4">
        <v>16</v>
      </c>
      <c r="I225" s="11">
        <f>10^3*0.06894757*(2*H225*0.938)/(18*$C$225)</f>
        <v>114.97390339555555</v>
      </c>
      <c r="J225" s="4">
        <v>16</v>
      </c>
      <c r="K225" s="11">
        <f>10^3*0.06894757*(2*J225*0.938)/(18*$C$225)</f>
        <v>114.97390339555555</v>
      </c>
      <c r="L225" s="4">
        <v>16</v>
      </c>
      <c r="M225" s="11">
        <f>10^3*0.06894757*(2*L225*0.938)/(18*$C$225)</f>
        <v>114.97390339555555</v>
      </c>
      <c r="N225" s="4">
        <v>16</v>
      </c>
      <c r="O225" s="11">
        <f>10^3*0.06894757*(2*N225*0.938)/(18*$C$225)</f>
        <v>114.97390339555555</v>
      </c>
      <c r="P225" s="4">
        <v>16</v>
      </c>
      <c r="Q225" s="11">
        <f>10^3*0.06894757*(2*P225*0.938)/(18*$C$225)</f>
        <v>114.97390339555555</v>
      </c>
      <c r="R225" s="4">
        <v>15.3</v>
      </c>
      <c r="S225" s="11">
        <f>10^3*0.06894757*(2*R225*0.938)/(18*$C$225)</f>
        <v>109.943795122</v>
      </c>
      <c r="T225" s="4">
        <v>14.6</v>
      </c>
      <c r="U225" s="11">
        <f>10^3*0.06894757*(2*T225*0.938)/(18*$C$225)</f>
        <v>104.91368684844444</v>
      </c>
      <c r="V225" s="4">
        <v>12.5</v>
      </c>
      <c r="W225" s="11">
        <f>10^3*0.06894757*(2*V225*0.938)/(18*$C$225)</f>
        <v>89.823362027777776</v>
      </c>
      <c r="X225" s="4">
        <v>10.7</v>
      </c>
      <c r="Y225" s="11">
        <f>10^3*0.06894757*(2*X225*0.938)/(18*$C$225)</f>
        <v>76.888797895777756</v>
      </c>
      <c r="Z225" s="4">
        <v>9.1999999999999993</v>
      </c>
      <c r="AA225" s="12">
        <f>10^3*0.06894757*(2*Z225*0.938)/(18*$C$225)</f>
        <v>66.109994452444425</v>
      </c>
    </row>
    <row r="226" spans="1:27" ht="16.5" thickBot="1" x14ac:dyDescent="0.3">
      <c r="A226" s="43"/>
      <c r="B226" s="46"/>
      <c r="C226" s="5">
        <v>1</v>
      </c>
      <c r="D226" s="5">
        <v>18</v>
      </c>
      <c r="E226" s="5">
        <v>160</v>
      </c>
      <c r="F226" s="5">
        <v>18</v>
      </c>
      <c r="G226" s="5">
        <v>1.7809999999999999</v>
      </c>
      <c r="H226" s="5">
        <v>16</v>
      </c>
      <c r="I226" s="13">
        <f>10^3*0.06894757*(2*H226*1.781)/(18*$C$226)</f>
        <v>218.30332830222221</v>
      </c>
      <c r="J226" s="5">
        <v>16</v>
      </c>
      <c r="K226" s="13">
        <f>10^3*0.06894757*(2*J226*1.781)/(18*$C$226)</f>
        <v>218.30332830222221</v>
      </c>
      <c r="L226" s="5">
        <v>16</v>
      </c>
      <c r="M226" s="13">
        <f>10^3*0.06894757*(2*L226*1.781)/(18*$C$226)</f>
        <v>218.30332830222221</v>
      </c>
      <c r="N226" s="5">
        <v>16</v>
      </c>
      <c r="O226" s="13">
        <f>10^3*0.06894757*(2*N226*1.781)/(18*$C$226)</f>
        <v>218.30332830222221</v>
      </c>
      <c r="P226" s="5">
        <v>16</v>
      </c>
      <c r="Q226" s="13">
        <f>10^3*0.06894757*(2*P226*1.781)/(18*$C$226)</f>
        <v>218.30332830222221</v>
      </c>
      <c r="R226" s="5">
        <v>15.3</v>
      </c>
      <c r="S226" s="13">
        <f>10^3*0.06894757*(2*R226*1.781)/(18*$C$226)</f>
        <v>208.75255768900001</v>
      </c>
      <c r="T226" s="5">
        <v>14.6</v>
      </c>
      <c r="U226" s="13">
        <f>10^3*0.06894757*(2*T226*1.781)/(18*$C$226)</f>
        <v>199.20178707577776</v>
      </c>
      <c r="V226" s="5">
        <v>12.5</v>
      </c>
      <c r="W226" s="13">
        <f>10^3*0.06894757*(2*V226*1.781)/(18*$C$226)</f>
        <v>170.54947523611111</v>
      </c>
      <c r="X226" s="5">
        <v>10.7</v>
      </c>
      <c r="Y226" s="13">
        <f>10^3*0.06894757*(2*X226*1.781)/(18*$C$226)</f>
        <v>145.9903508021111</v>
      </c>
      <c r="Z226" s="5">
        <v>9.1999999999999993</v>
      </c>
      <c r="AA226" s="14">
        <f>10^3*0.06894757*(2*Z226*1.781)/(18*$C$226)</f>
        <v>125.52441377377775</v>
      </c>
    </row>
    <row r="227" spans="1:27" x14ac:dyDescent="0.25">
      <c r="A227" s="43"/>
      <c r="B227" s="44" t="s">
        <v>1</v>
      </c>
      <c r="C227" s="3">
        <v>1</v>
      </c>
      <c r="D227" s="3">
        <v>18</v>
      </c>
      <c r="E227" s="3">
        <v>5</v>
      </c>
      <c r="F227" s="19">
        <v>18</v>
      </c>
      <c r="G227" s="3">
        <v>0.16500000000000001</v>
      </c>
      <c r="H227" s="3">
        <v>20</v>
      </c>
      <c r="I227" s="9">
        <f>10^3*0.06894757*(2*H227*0.165)/(18*$C$227)</f>
        <v>25.280775666666667</v>
      </c>
      <c r="J227" s="3">
        <v>20</v>
      </c>
      <c r="K227" s="9">
        <f>10^3*0.06894757*(2*J227*0.165)/(18*$C$227)</f>
        <v>25.280775666666667</v>
      </c>
      <c r="L227" s="3">
        <v>20</v>
      </c>
      <c r="M227" s="9">
        <f>10^3*0.06894757*(2*L227*0.165)/(18*$C$227)</f>
        <v>25.280775666666667</v>
      </c>
      <c r="N227" s="3">
        <v>19.899999999999999</v>
      </c>
      <c r="O227" s="9">
        <f>10^3*0.06894757*(2*N227*0.165)/(18*$C$227)</f>
        <v>25.154371788333336</v>
      </c>
      <c r="P227" s="3">
        <v>19</v>
      </c>
      <c r="Q227" s="9">
        <f>10^3*0.06894757*(2*P227*0.165)/(18*$C$227)</f>
        <v>24.016736883333337</v>
      </c>
      <c r="R227" s="3">
        <v>17.899999999999999</v>
      </c>
      <c r="S227" s="9">
        <f>10^3*0.06894757*(2*R227*0.165)/(18*$C$227)</f>
        <v>22.626294221666669</v>
      </c>
      <c r="T227" s="3">
        <v>17.3</v>
      </c>
      <c r="U227" s="9">
        <f>10^3*0.06894757*(2*T227*0.165)/(18*$C$227)</f>
        <v>21.867870951666667</v>
      </c>
      <c r="V227" s="3">
        <v>16.7</v>
      </c>
      <c r="W227" s="9">
        <f>10^3*0.06894757*(2*V227*0.165)/(18*$C$227)</f>
        <v>21.109447681666666</v>
      </c>
      <c r="X227" s="3">
        <v>13.9</v>
      </c>
      <c r="Y227" s="9">
        <f>10^3*0.06894757*(2*X227*0.165)/(18*$C$227)</f>
        <v>17.570139088333335</v>
      </c>
      <c r="Z227" s="3">
        <v>11.4</v>
      </c>
      <c r="AA227" s="10">
        <f>10^3*0.06894757*(2*Z227*0.165)/(18*$C$227)</f>
        <v>14.410042130000001</v>
      </c>
    </row>
    <row r="228" spans="1:27" x14ac:dyDescent="0.25">
      <c r="A228" s="43"/>
      <c r="B228" s="45"/>
      <c r="C228" s="4">
        <v>1</v>
      </c>
      <c r="D228" s="4">
        <v>18</v>
      </c>
      <c r="E228" s="4">
        <v>10</v>
      </c>
      <c r="F228" s="4">
        <v>18</v>
      </c>
      <c r="G228" s="4">
        <v>0.25</v>
      </c>
      <c r="H228" s="4">
        <v>20</v>
      </c>
      <c r="I228" s="11">
        <f>10^3*0.06894757*(2*H228*0.25)/(18*$C$228)</f>
        <v>38.304205555555555</v>
      </c>
      <c r="J228" s="4">
        <v>20</v>
      </c>
      <c r="K228" s="11">
        <f>10^3*0.06894757*(2*J228*0.25)/(18*$C$228)</f>
        <v>38.304205555555555</v>
      </c>
      <c r="L228" s="4">
        <v>20</v>
      </c>
      <c r="M228" s="11">
        <f>10^3*0.06894757*(2*L228*0.25)/(18*$C$228)</f>
        <v>38.304205555555555</v>
      </c>
      <c r="N228" s="4">
        <v>19.899999999999999</v>
      </c>
      <c r="O228" s="11">
        <f>10^3*0.06894757*(2*N228*0.25)/(18*$C$228)</f>
        <v>38.112684527777773</v>
      </c>
      <c r="P228" s="4">
        <v>19</v>
      </c>
      <c r="Q228" s="11">
        <f>10^3*0.06894757*(2*P228*0.25)/(18*$C$228)</f>
        <v>36.388995277777774</v>
      </c>
      <c r="R228" s="4">
        <v>17.899999999999999</v>
      </c>
      <c r="S228" s="11">
        <f>10^3*0.06894757*(2*R228*0.25)/(18*$C$228)</f>
        <v>34.282263972222218</v>
      </c>
      <c r="T228" s="4">
        <v>17.3</v>
      </c>
      <c r="U228" s="11">
        <f>10^3*0.06894757*(2*T228*0.25)/(18*$C$228)</f>
        <v>33.133137805555556</v>
      </c>
      <c r="V228" s="4">
        <v>16.7</v>
      </c>
      <c r="W228" s="11">
        <f>10^3*0.06894757*(2*V228*0.25)/(18*$C$228)</f>
        <v>31.984011638888887</v>
      </c>
      <c r="X228" s="4">
        <v>13.9</v>
      </c>
      <c r="Y228" s="11">
        <f>10^3*0.06894757*(2*X228*0.25)/(18*$C$228)</f>
        <v>26.62142286111111</v>
      </c>
      <c r="Z228" s="4">
        <v>11.4</v>
      </c>
      <c r="AA228" s="12">
        <f>10^3*0.06894757*(2*Z228*0.25)/(18*$C$228)</f>
        <v>21.833397166666668</v>
      </c>
    </row>
    <row r="229" spans="1:27" x14ac:dyDescent="0.25">
      <c r="A229" s="43"/>
      <c r="B229" s="45"/>
      <c r="C229" s="4">
        <v>1</v>
      </c>
      <c r="D229" s="4">
        <v>18</v>
      </c>
      <c r="E229" s="4">
        <v>30</v>
      </c>
      <c r="F229" s="4">
        <v>18</v>
      </c>
      <c r="G229" s="4">
        <v>0.438</v>
      </c>
      <c r="H229" s="4">
        <v>20</v>
      </c>
      <c r="I229" s="11">
        <f>10^3*0.06894757*(2*H229*0.438)/(18*$C$229)</f>
        <v>67.108968133333335</v>
      </c>
      <c r="J229" s="4">
        <v>20</v>
      </c>
      <c r="K229" s="11">
        <f>10^3*0.06894757*(2*J229*0.438)/(18*$C$229)</f>
        <v>67.108968133333335</v>
      </c>
      <c r="L229" s="4">
        <v>20</v>
      </c>
      <c r="M229" s="11">
        <f>10^3*0.06894757*(2*L229*0.438)/(18*$C$229)</f>
        <v>67.108968133333335</v>
      </c>
      <c r="N229" s="4">
        <v>19.899999999999999</v>
      </c>
      <c r="O229" s="11">
        <f>10^3*0.06894757*(2*N229*0.438)/(18*$C$229)</f>
        <v>66.773423292666664</v>
      </c>
      <c r="P229" s="4">
        <v>19</v>
      </c>
      <c r="Q229" s="11">
        <f>10^3*0.06894757*(2*P229*0.438)/(18*$C$229)</f>
        <v>63.75351972666666</v>
      </c>
      <c r="R229" s="4">
        <v>17.899999999999999</v>
      </c>
      <c r="S229" s="11">
        <f>10^3*0.06894757*(2*R229*0.438)/(18*$C$229)</f>
        <v>60.062526479333329</v>
      </c>
      <c r="T229" s="4">
        <v>17.3</v>
      </c>
      <c r="U229" s="11">
        <f>10^3*0.06894757*(2*T229*0.438)/(18*$C$229)</f>
        <v>58.049257435333324</v>
      </c>
      <c r="V229" s="4">
        <v>16.7</v>
      </c>
      <c r="W229" s="11">
        <f>10^3*0.06894757*(2*V229*0.438)/(18*$C$229)</f>
        <v>56.035988391333333</v>
      </c>
      <c r="X229" s="4">
        <v>13.9</v>
      </c>
      <c r="Y229" s="11">
        <f>10^3*0.06894757*(2*X229*0.438)/(18*$C$229)</f>
        <v>46.640732852666673</v>
      </c>
      <c r="Z229" s="4">
        <v>11.4</v>
      </c>
      <c r="AA229" s="12">
        <f>10^3*0.06894757*(2*Z229*0.438)/(18*$C$229)</f>
        <v>38.252111835999997</v>
      </c>
    </row>
    <row r="230" spans="1:27" x14ac:dyDescent="0.25">
      <c r="A230" s="43"/>
      <c r="B230" s="45"/>
      <c r="C230" s="4">
        <v>1</v>
      </c>
      <c r="D230" s="4">
        <v>18</v>
      </c>
      <c r="E230" s="4">
        <v>40</v>
      </c>
      <c r="F230" s="4">
        <v>18</v>
      </c>
      <c r="G230" s="4">
        <v>0.56200000000000006</v>
      </c>
      <c r="H230" s="4">
        <v>20</v>
      </c>
      <c r="I230" s="11">
        <f>10^3*0.06894757*(2*H230*0.562)/(18*$C$230)</f>
        <v>86.107854088888914</v>
      </c>
      <c r="J230" s="4">
        <v>20</v>
      </c>
      <c r="K230" s="11">
        <f>10^3*0.06894757*(2*J230*0.562)/(18*$C$230)</f>
        <v>86.107854088888914</v>
      </c>
      <c r="L230" s="4">
        <v>20</v>
      </c>
      <c r="M230" s="11">
        <f>10^3*0.06894757*(2*L230*0.562)/(18*$C$230)</f>
        <v>86.107854088888914</v>
      </c>
      <c r="N230" s="4">
        <v>19.899999999999999</v>
      </c>
      <c r="O230" s="11">
        <f>10^3*0.06894757*(2*N230*0.562)/(18*$C$230)</f>
        <v>85.677314818444444</v>
      </c>
      <c r="P230" s="4">
        <v>19</v>
      </c>
      <c r="Q230" s="11">
        <f>10^3*0.06894757*(2*P230*0.562)/(18*$C$230)</f>
        <v>81.802461384444456</v>
      </c>
      <c r="R230" s="4">
        <v>17.899999999999999</v>
      </c>
      <c r="S230" s="11">
        <f>10^3*0.06894757*(2*R230*0.562)/(18*$C$230)</f>
        <v>77.066529409555571</v>
      </c>
      <c r="T230" s="4">
        <v>17.3</v>
      </c>
      <c r="U230" s="11">
        <f>10^3*0.06894757*(2*T230*0.562)/(18*$C$230)</f>
        <v>74.483293786888893</v>
      </c>
      <c r="V230" s="4">
        <v>16.7</v>
      </c>
      <c r="W230" s="11">
        <f>10^3*0.06894757*(2*V230*0.562)/(18*$C$230)</f>
        <v>71.90005816422223</v>
      </c>
      <c r="X230" s="4">
        <v>13.9</v>
      </c>
      <c r="Y230" s="11">
        <f>10^3*0.06894757*(2*X230*0.562)/(18*$C$230)</f>
        <v>59.844958591777782</v>
      </c>
      <c r="Z230" s="4">
        <v>11.4</v>
      </c>
      <c r="AA230" s="12">
        <f>10^3*0.06894757*(2*Z230*0.562)/(18*$C$230)</f>
        <v>49.081476830666674</v>
      </c>
    </row>
    <row r="231" spans="1:27" x14ac:dyDescent="0.25">
      <c r="A231" s="43"/>
      <c r="B231" s="45"/>
      <c r="C231" s="4">
        <v>1</v>
      </c>
      <c r="D231" s="4">
        <v>18</v>
      </c>
      <c r="E231" s="4">
        <v>80</v>
      </c>
      <c r="F231" s="4">
        <v>18</v>
      </c>
      <c r="G231" s="4">
        <v>0.93799999999999994</v>
      </c>
      <c r="H231" s="4">
        <v>20</v>
      </c>
      <c r="I231" s="11">
        <f>10^3*0.06894757*(2*H231*0.938)/(18*$C$231)</f>
        <v>143.71737924444443</v>
      </c>
      <c r="J231" s="4">
        <v>20</v>
      </c>
      <c r="K231" s="11">
        <f>10^3*0.06894757*(2*J231*0.938)/(18*$C$231)</f>
        <v>143.71737924444443</v>
      </c>
      <c r="L231" s="4">
        <v>20</v>
      </c>
      <c r="M231" s="11">
        <f>10^3*0.06894757*(2*L231*0.938)/(18*$C$231)</f>
        <v>143.71737924444443</v>
      </c>
      <c r="N231" s="4">
        <v>19.899999999999999</v>
      </c>
      <c r="O231" s="11">
        <f>10^3*0.06894757*(2*N231*0.938)/(18*$C$231)</f>
        <v>142.9987923482222</v>
      </c>
      <c r="P231" s="4">
        <v>19</v>
      </c>
      <c r="Q231" s="11">
        <f>10^3*0.06894757*(2*P231*0.938)/(18*$C$231)</f>
        <v>136.53151028222223</v>
      </c>
      <c r="R231" s="4">
        <v>17.899999999999999</v>
      </c>
      <c r="S231" s="11">
        <f>10^3*0.06894757*(2*R231*0.938)/(18*$C$231)</f>
        <v>128.62705442377776</v>
      </c>
      <c r="T231" s="4">
        <v>17.3</v>
      </c>
      <c r="U231" s="11">
        <f>10^3*0.06894757*(2*T231*0.938)/(18*$C$231)</f>
        <v>124.31553304644444</v>
      </c>
      <c r="V231" s="4">
        <v>16.7</v>
      </c>
      <c r="W231" s="11">
        <f>10^3*0.06894757*(2*V231*0.938)/(18*$C$231)</f>
        <v>120.00401166911109</v>
      </c>
      <c r="X231" s="4">
        <v>13.9</v>
      </c>
      <c r="Y231" s="11">
        <f>10^3*0.06894757*(2*X231*0.938)/(18*$C$231)</f>
        <v>99.883578574888887</v>
      </c>
      <c r="Z231" s="4">
        <v>11.4</v>
      </c>
      <c r="AA231" s="12">
        <f>10^3*0.06894757*(2*Z231*0.938)/(18*$C$231)</f>
        <v>81.918906169333326</v>
      </c>
    </row>
    <row r="232" spans="1:27" ht="16.5" thickBot="1" x14ac:dyDescent="0.3">
      <c r="A232" s="43"/>
      <c r="B232" s="46"/>
      <c r="C232" s="5">
        <v>1</v>
      </c>
      <c r="D232" s="5">
        <v>18</v>
      </c>
      <c r="E232" s="5">
        <v>160</v>
      </c>
      <c r="F232" s="5">
        <v>18</v>
      </c>
      <c r="G232" s="5">
        <v>1.7809999999999999</v>
      </c>
      <c r="H232" s="5">
        <v>20</v>
      </c>
      <c r="I232" s="13">
        <f>10^3*0.06894757*(2*H232*1.781)/(18*$C$232)</f>
        <v>272.87916037777774</v>
      </c>
      <c r="J232" s="5">
        <v>20</v>
      </c>
      <c r="K232" s="13">
        <f>10^3*0.06894757*(2*J232*1.781)/(18*$C$232)</f>
        <v>272.87916037777774</v>
      </c>
      <c r="L232" s="5">
        <v>20</v>
      </c>
      <c r="M232" s="13">
        <f>10^3*0.06894757*(2*L232*1.781)/(18*$C$232)</f>
        <v>272.87916037777774</v>
      </c>
      <c r="N232" s="5">
        <v>19.899999999999999</v>
      </c>
      <c r="O232" s="13">
        <f>10^3*0.06894757*(2*N232*1.781)/(18*$C$232)</f>
        <v>271.51476457588888</v>
      </c>
      <c r="P232" s="5">
        <v>19</v>
      </c>
      <c r="Q232" s="13">
        <f>10^3*0.06894757*(2*P232*1.781)/(18*$C$232)</f>
        <v>259.2352023588889</v>
      </c>
      <c r="R232" s="5">
        <v>17.899999999999999</v>
      </c>
      <c r="S232" s="13">
        <f>10^3*0.06894757*(2*R232*1.781)/(18*$C$232)</f>
        <v>244.22684853811108</v>
      </c>
      <c r="T232" s="5">
        <v>17.3</v>
      </c>
      <c r="U232" s="13">
        <f>10^3*0.06894757*(2*T232*1.781)/(18*$C$232)</f>
        <v>236.0404737267778</v>
      </c>
      <c r="V232" s="5">
        <v>16.7</v>
      </c>
      <c r="W232" s="13">
        <f>10^3*0.06894757*(2*V232*1.781)/(18*$C$232)</f>
        <v>227.85409891544441</v>
      </c>
      <c r="X232" s="5">
        <v>13.9</v>
      </c>
      <c r="Y232" s="13">
        <f>10^3*0.06894757*(2*X232*1.781)/(18*$C$232)</f>
        <v>189.65101646255556</v>
      </c>
      <c r="Z232" s="5">
        <v>11.4</v>
      </c>
      <c r="AA232" s="14">
        <f>10^3*0.06894757*(2*Z232*1.781)/(18*$C$232)</f>
        <v>155.54112141533335</v>
      </c>
    </row>
    <row r="233" spans="1:27" x14ac:dyDescent="0.25">
      <c r="A233" s="43"/>
      <c r="B233" s="44" t="s">
        <v>6</v>
      </c>
      <c r="C233" s="3">
        <v>1</v>
      </c>
      <c r="D233" s="3">
        <v>18</v>
      </c>
      <c r="E233" s="3">
        <v>5</v>
      </c>
      <c r="F233" s="19">
        <v>18</v>
      </c>
      <c r="G233" s="3">
        <v>0.16500000000000001</v>
      </c>
      <c r="H233" s="6">
        <v>23.3</v>
      </c>
      <c r="I233" s="9">
        <f>10^3*0.06894757*(2*H233*0.165)/(18*$C$233)</f>
        <v>29.452103651666668</v>
      </c>
      <c r="J233" s="6">
        <v>23.3</v>
      </c>
      <c r="K233" s="9">
        <f>10^3*0.06894757*(2*J233*0.165)/(18*$C$233)</f>
        <v>29.452103651666668</v>
      </c>
      <c r="L233" s="6">
        <v>23.3</v>
      </c>
      <c r="M233" s="9">
        <f>10^3*0.06894757*(2*L233*0.165)/(18*$C$233)</f>
        <v>29.452103651666668</v>
      </c>
      <c r="N233" s="6">
        <v>22.8</v>
      </c>
      <c r="O233" s="9">
        <f>10^3*0.06894757*(2*N233*0.165)/(18*$C$233)</f>
        <v>28.820084260000002</v>
      </c>
      <c r="P233" s="6">
        <v>21.7</v>
      </c>
      <c r="Q233" s="9">
        <f>10^3*0.06894757*(2*P233*0.165)/(18*$C$233)</f>
        <v>27.429641598333333</v>
      </c>
      <c r="R233" s="6">
        <v>20.399999999999999</v>
      </c>
      <c r="S233" s="9">
        <f>10^3*0.06894757*(2*R233*0.165)/(18*$C$233)</f>
        <v>25.786391179999999</v>
      </c>
      <c r="T233" s="6">
        <v>19.8</v>
      </c>
      <c r="U233" s="9">
        <f>10^3*0.06894757*(2*T233*0.165)/(18*$C$233)</f>
        <v>25.027967910000001</v>
      </c>
      <c r="V233" s="6">
        <v>18.3</v>
      </c>
      <c r="W233" s="9">
        <f>10^3*0.06894757*(2*V233*0.165)/(18*$C$233)</f>
        <v>23.131909735000004</v>
      </c>
      <c r="X233" s="6">
        <v>14.8</v>
      </c>
      <c r="Y233" s="9">
        <f>10^3*0.06894757*(2*X233*0.165)/(18*$C$233)</f>
        <v>18.707773993333333</v>
      </c>
      <c r="Z233" s="6">
        <v>12</v>
      </c>
      <c r="AA233" s="10">
        <f>10^3*0.06894757*(2*Z233*0.165)/(18*$C$233)</f>
        <v>15.168465399999999</v>
      </c>
    </row>
    <row r="234" spans="1:27" x14ac:dyDescent="0.25">
      <c r="A234" s="43"/>
      <c r="B234" s="45"/>
      <c r="C234" s="4">
        <v>1</v>
      </c>
      <c r="D234" s="4">
        <v>18</v>
      </c>
      <c r="E234" s="4">
        <v>10</v>
      </c>
      <c r="F234" s="4">
        <v>18</v>
      </c>
      <c r="G234" s="4">
        <v>0.25</v>
      </c>
      <c r="H234" s="7">
        <v>23.3</v>
      </c>
      <c r="I234" s="11">
        <f>10^3*0.06894757*(2*H234*0.25)/(18*$C$234)</f>
        <v>44.624399472222223</v>
      </c>
      <c r="J234" s="7">
        <v>23.3</v>
      </c>
      <c r="K234" s="11">
        <f>10^3*0.06894757*(2*J234*0.25)/(18*$C$234)</f>
        <v>44.624399472222223</v>
      </c>
      <c r="L234" s="7">
        <v>23.3</v>
      </c>
      <c r="M234" s="11">
        <f>10^3*0.06894757*(2*L234*0.25)/(18*$C$234)</f>
        <v>44.624399472222223</v>
      </c>
      <c r="N234" s="7">
        <v>22.8</v>
      </c>
      <c r="O234" s="11">
        <f>10^3*0.06894757*(2*N234*0.25)/(18*$C$234)</f>
        <v>43.666794333333335</v>
      </c>
      <c r="P234" s="7">
        <v>21.7</v>
      </c>
      <c r="Q234" s="11">
        <f>10^3*0.06894757*(2*P234*0.25)/(18*$C$234)</f>
        <v>41.560063027777773</v>
      </c>
      <c r="R234" s="7">
        <v>20.399999999999999</v>
      </c>
      <c r="S234" s="11">
        <f>10^3*0.06894757*(2*R234*0.25)/(18*$C$234)</f>
        <v>39.07028966666666</v>
      </c>
      <c r="T234" s="7">
        <v>19.8</v>
      </c>
      <c r="U234" s="11">
        <f>10^3*0.06894757*(2*T234*0.25)/(18*$C$234)</f>
        <v>37.921163500000006</v>
      </c>
      <c r="V234" s="7">
        <v>18.3</v>
      </c>
      <c r="W234" s="11">
        <f>10^3*0.06894757*(2*V234*0.25)/(18*$C$234)</f>
        <v>35.04834808333333</v>
      </c>
      <c r="X234" s="7">
        <v>14.8</v>
      </c>
      <c r="Y234" s="11">
        <f>10^3*0.06894757*(2*X234*0.25)/(18*$C$234)</f>
        <v>28.34511211111111</v>
      </c>
      <c r="Z234" s="7">
        <v>12</v>
      </c>
      <c r="AA234" s="12">
        <f>10^3*0.06894757*(2*Z234*0.25)/(18*$C$234)</f>
        <v>22.982523333333333</v>
      </c>
    </row>
    <row r="235" spans="1:27" x14ac:dyDescent="0.25">
      <c r="A235" s="43"/>
      <c r="B235" s="45"/>
      <c r="C235" s="4">
        <v>1</v>
      </c>
      <c r="D235" s="4">
        <v>18</v>
      </c>
      <c r="E235" s="4">
        <v>30</v>
      </c>
      <c r="F235" s="4">
        <v>18</v>
      </c>
      <c r="G235" s="4">
        <v>0.438</v>
      </c>
      <c r="H235" s="7">
        <v>23.3</v>
      </c>
      <c r="I235" s="11">
        <f>10^3*0.06894757*(2*H235*0.438)/(18*$C$235)</f>
        <v>78.181947875333336</v>
      </c>
      <c r="J235" s="7">
        <v>23.3</v>
      </c>
      <c r="K235" s="11">
        <f>10^3*0.06894757*(2*J235*0.438)/(18*$C$235)</f>
        <v>78.181947875333336</v>
      </c>
      <c r="L235" s="7">
        <v>23.3</v>
      </c>
      <c r="M235" s="11">
        <f>10^3*0.06894757*(2*L235*0.438)/(18*$C$235)</f>
        <v>78.181947875333336</v>
      </c>
      <c r="N235" s="7">
        <v>22.8</v>
      </c>
      <c r="O235" s="11">
        <f>10^3*0.06894757*(2*N235*0.438)/(18*$C$235)</f>
        <v>76.504223671999995</v>
      </c>
      <c r="P235" s="7">
        <v>21.7</v>
      </c>
      <c r="Q235" s="11">
        <f>10^3*0.06894757*(2*P235*0.438)/(18*$C$235)</f>
        <v>72.813230424666656</v>
      </c>
      <c r="R235" s="7">
        <v>20.399999999999999</v>
      </c>
      <c r="S235" s="11">
        <f>10^3*0.06894757*(2*R235*0.438)/(18*$C$235)</f>
        <v>68.451147496000004</v>
      </c>
      <c r="T235" s="7">
        <v>19.8</v>
      </c>
      <c r="U235" s="11">
        <f>10^3*0.06894757*(2*T235*0.438)/(18*$C$235)</f>
        <v>66.437878452000007</v>
      </c>
      <c r="V235" s="7">
        <v>18.3</v>
      </c>
      <c r="W235" s="11">
        <f>10^3*0.06894757*(2*V235*0.438)/(18*$C$235)</f>
        <v>61.404705841999998</v>
      </c>
      <c r="X235" s="7">
        <v>14.8</v>
      </c>
      <c r="Y235" s="11">
        <f>10^3*0.06894757*(2*X235*0.438)/(18*$C$235)</f>
        <v>49.660636418666662</v>
      </c>
      <c r="Z235" s="7">
        <v>12</v>
      </c>
      <c r="AA235" s="12">
        <f>10^3*0.06894757*(2*Z235*0.438)/(18*$C$235)</f>
        <v>40.265380880000002</v>
      </c>
    </row>
    <row r="236" spans="1:27" x14ac:dyDescent="0.25">
      <c r="A236" s="43"/>
      <c r="B236" s="45"/>
      <c r="C236" s="4">
        <v>1</v>
      </c>
      <c r="D236" s="4">
        <v>18</v>
      </c>
      <c r="E236" s="4">
        <v>40</v>
      </c>
      <c r="F236" s="4">
        <v>18</v>
      </c>
      <c r="G236" s="4">
        <v>0.56200000000000006</v>
      </c>
      <c r="H236" s="7">
        <v>23.3</v>
      </c>
      <c r="I236" s="11">
        <f>10^3*0.06894757*(2*H236*0.562)/(18*$C$236)</f>
        <v>100.31565001355557</v>
      </c>
      <c r="J236" s="7">
        <v>23.3</v>
      </c>
      <c r="K236" s="11">
        <f>10^3*0.06894757*(2*J236*0.562)/(18*$C$236)</f>
        <v>100.31565001355557</v>
      </c>
      <c r="L236" s="7">
        <v>23.3</v>
      </c>
      <c r="M236" s="11">
        <f>10^3*0.06894757*(2*L236*0.562)/(18*$C$236)</f>
        <v>100.31565001355557</v>
      </c>
      <c r="N236" s="7">
        <v>22.8</v>
      </c>
      <c r="O236" s="11">
        <f>10^3*0.06894757*(2*N236*0.562)/(18*$C$236)</f>
        <v>98.162953661333347</v>
      </c>
      <c r="P236" s="7">
        <v>21.7</v>
      </c>
      <c r="Q236" s="11">
        <f>10^3*0.06894757*(2*P236*0.562)/(18*$C$236)</f>
        <v>93.427021686444448</v>
      </c>
      <c r="R236" s="7">
        <v>20.399999999999999</v>
      </c>
      <c r="S236" s="11">
        <f>10^3*0.06894757*(2*R236*0.562)/(18*$C$236)</f>
        <v>87.830011170666666</v>
      </c>
      <c r="T236" s="7">
        <v>19.8</v>
      </c>
      <c r="U236" s="11">
        <f>10^3*0.06894757*(2*T236*0.562)/(18*$C$236)</f>
        <v>85.246775548000016</v>
      </c>
      <c r="V236" s="7">
        <v>18.3</v>
      </c>
      <c r="W236" s="11">
        <f>10^3*0.06894757*(2*V236*0.562)/(18*$C$236)</f>
        <v>78.788686491333337</v>
      </c>
      <c r="X236" s="7">
        <v>14.8</v>
      </c>
      <c r="Y236" s="11">
        <f>10^3*0.06894757*(2*X236*0.562)/(18*$C$236)</f>
        <v>63.719812025777777</v>
      </c>
      <c r="Z236" s="7">
        <v>12</v>
      </c>
      <c r="AA236" s="12">
        <f>10^3*0.06894757*(2*Z236*0.562)/(18*$C$236)</f>
        <v>51.664712453333337</v>
      </c>
    </row>
    <row r="237" spans="1:27" x14ac:dyDescent="0.25">
      <c r="A237" s="43"/>
      <c r="B237" s="45"/>
      <c r="C237" s="4">
        <v>1</v>
      </c>
      <c r="D237" s="4">
        <v>18</v>
      </c>
      <c r="E237" s="4">
        <v>80</v>
      </c>
      <c r="F237" s="4">
        <v>18</v>
      </c>
      <c r="G237" s="4">
        <v>0.93799999999999994</v>
      </c>
      <c r="H237" s="7">
        <v>23.3</v>
      </c>
      <c r="I237" s="11">
        <f>10^3*0.06894757*(2*H237*0.938)/(18*$C$237)</f>
        <v>167.43074681977777</v>
      </c>
      <c r="J237" s="7">
        <v>23.3</v>
      </c>
      <c r="K237" s="11">
        <f>10^3*0.06894757*(2*J237*0.938)/(18*$C$237)</f>
        <v>167.43074681977777</v>
      </c>
      <c r="L237" s="7">
        <v>23.3</v>
      </c>
      <c r="M237" s="11">
        <f>10^3*0.06894757*(2*L237*0.938)/(18*$C$237)</f>
        <v>167.43074681977777</v>
      </c>
      <c r="N237" s="7">
        <v>22.8</v>
      </c>
      <c r="O237" s="11">
        <f>10^3*0.06894757*(2*N237*0.938)/(18*$C$237)</f>
        <v>163.83781233866665</v>
      </c>
      <c r="P237" s="7">
        <v>21.7</v>
      </c>
      <c r="Q237" s="11">
        <f>10^3*0.06894757*(2*P237*0.938)/(18*$C$237)</f>
        <v>155.93335648022219</v>
      </c>
      <c r="R237" s="7">
        <v>20.399999999999999</v>
      </c>
      <c r="S237" s="11">
        <f>10^3*0.06894757*(2*R237*0.938)/(18*$C$237)</f>
        <v>146.59172682933331</v>
      </c>
      <c r="T237" s="7">
        <v>19.8</v>
      </c>
      <c r="U237" s="11">
        <f>10^3*0.06894757*(2*T237*0.938)/(18*$C$237)</f>
        <v>142.28020545199999</v>
      </c>
      <c r="V237" s="7">
        <v>18.3</v>
      </c>
      <c r="W237" s="11">
        <f>10^3*0.06894757*(2*V237*0.938)/(18*$C$237)</f>
        <v>131.50140200866664</v>
      </c>
      <c r="X237" s="7">
        <v>14.8</v>
      </c>
      <c r="Y237" s="11">
        <f>10^3*0.06894757*(2*X237*0.938)/(18*$C$237)</f>
        <v>106.3508606408889</v>
      </c>
      <c r="Z237" s="7">
        <v>12</v>
      </c>
      <c r="AA237" s="12">
        <f>10^3*0.06894757*(2*Z237*0.938)/(18*$C$237)</f>
        <v>86.230427546666675</v>
      </c>
    </row>
    <row r="238" spans="1:27" ht="16.5" thickBot="1" x14ac:dyDescent="0.3">
      <c r="A238" s="43"/>
      <c r="B238" s="46"/>
      <c r="C238" s="5">
        <v>1</v>
      </c>
      <c r="D238" s="5">
        <v>18</v>
      </c>
      <c r="E238" s="5">
        <v>160</v>
      </c>
      <c r="F238" s="5">
        <v>18</v>
      </c>
      <c r="G238" s="5">
        <v>1.7809999999999999</v>
      </c>
      <c r="H238" s="8">
        <v>23.3</v>
      </c>
      <c r="I238" s="13">
        <f>10^3*0.06894757*(2*H238*1.781)/(18*$C$238)</f>
        <v>317.90422184011118</v>
      </c>
      <c r="J238" s="8">
        <v>23.3</v>
      </c>
      <c r="K238" s="13">
        <f>10^3*0.06894757*(2*J238*1.781)/(18*$C$238)</f>
        <v>317.90422184011118</v>
      </c>
      <c r="L238" s="8">
        <v>23.3</v>
      </c>
      <c r="M238" s="13">
        <f>10^3*0.06894757*(2*L238*1.781)/(18*$C$238)</f>
        <v>317.90422184011118</v>
      </c>
      <c r="N238" s="8">
        <v>22.8</v>
      </c>
      <c r="O238" s="13">
        <f>10^3*0.06894757*(2*N238*1.781)/(18*$C$238)</f>
        <v>311.0822428306667</v>
      </c>
      <c r="P238" s="8">
        <v>21.7</v>
      </c>
      <c r="Q238" s="13">
        <f>10^3*0.06894757*(2*P238*1.781)/(18*$C$238)</f>
        <v>296.07388900988889</v>
      </c>
      <c r="R238" s="8">
        <v>20.399999999999999</v>
      </c>
      <c r="S238" s="13">
        <f>10^3*0.06894757*(2*R238*1.781)/(18*$C$238)</f>
        <v>278.33674358533324</v>
      </c>
      <c r="T238" s="8">
        <v>19.8</v>
      </c>
      <c r="U238" s="13">
        <f>10^3*0.06894757*(2*T238*1.781)/(18*$C$238)</f>
        <v>270.15036877399996</v>
      </c>
      <c r="V238" s="8">
        <v>18.3</v>
      </c>
      <c r="W238" s="13">
        <f>10^3*0.06894757*(2*V238*1.781)/(18*$C$238)</f>
        <v>249.6844317456667</v>
      </c>
      <c r="X238" s="8">
        <v>14.8</v>
      </c>
      <c r="Y238" s="13">
        <f>10^3*0.06894757*(2*X238*1.781)/(18*$C$238)</f>
        <v>201.93057867955554</v>
      </c>
      <c r="Z238" s="8">
        <v>12</v>
      </c>
      <c r="AA238" s="14">
        <f>10^3*0.06894757*(2*Z238*1.781)/(18*$C$238)</f>
        <v>163.72749622666666</v>
      </c>
    </row>
    <row r="239" spans="1:27" x14ac:dyDescent="0.25">
      <c r="A239" s="43" t="s">
        <v>5</v>
      </c>
      <c r="B239" s="44" t="s">
        <v>2</v>
      </c>
      <c r="C239" s="3">
        <v>1</v>
      </c>
      <c r="D239" s="3">
        <v>20</v>
      </c>
      <c r="E239" s="3">
        <v>5</v>
      </c>
      <c r="F239" s="3">
        <v>20</v>
      </c>
      <c r="G239" s="3">
        <v>0.188</v>
      </c>
      <c r="H239" s="3">
        <v>16</v>
      </c>
      <c r="I239" s="9">
        <f>10^3*0.06894757*(2*H239*0.188)/(20*$C$239)</f>
        <v>20.739429055999999</v>
      </c>
      <c r="J239" s="3">
        <v>16</v>
      </c>
      <c r="K239" s="9">
        <f>10^3*0.06894757*(2*J239*0.188)/(20*$C$239)</f>
        <v>20.739429055999999</v>
      </c>
      <c r="L239" s="3">
        <v>16</v>
      </c>
      <c r="M239" s="9">
        <f>10^3*0.06894757*(2*L239*0.188)/(20*$C$239)</f>
        <v>20.739429055999999</v>
      </c>
      <c r="N239" s="3">
        <v>16</v>
      </c>
      <c r="O239" s="9">
        <f>10^3*0.06894757*(2*N239*0.188)/(20*$C$239)</f>
        <v>20.739429055999999</v>
      </c>
      <c r="P239" s="3">
        <v>16</v>
      </c>
      <c r="Q239" s="9">
        <f>10^3*0.06894757*(2*P239*0.188)/(20*$C$239)</f>
        <v>20.739429055999999</v>
      </c>
      <c r="R239" s="3">
        <v>15.3</v>
      </c>
      <c r="S239" s="9">
        <f>10^3*0.06894757*(2*R239*0.188)/(20*$C$239)</f>
        <v>19.8320790348</v>
      </c>
      <c r="T239" s="3">
        <v>14.6</v>
      </c>
      <c r="U239" s="9">
        <f>10^3*0.06894757*(2*T239*0.188)/(20*$C$239)</f>
        <v>18.9247290136</v>
      </c>
      <c r="V239" s="3">
        <v>12.5</v>
      </c>
      <c r="W239" s="9">
        <f>10^3*0.06894757*(2*V239*0.188)/(20*$C$239)</f>
        <v>16.202678949999999</v>
      </c>
      <c r="X239" s="3">
        <v>10.7</v>
      </c>
      <c r="Y239" s="9">
        <f>10^3*0.06894757*(2*X239*0.188)/(20*$C$239)</f>
        <v>13.869493181199999</v>
      </c>
      <c r="Z239" s="3">
        <v>9.1999999999999993</v>
      </c>
      <c r="AA239" s="10">
        <f>10^3*0.06894757*(2*Z239*0.188)/(20*$C$239)</f>
        <v>11.925171707199999</v>
      </c>
    </row>
    <row r="240" spans="1:27" x14ac:dyDescent="0.25">
      <c r="A240" s="43"/>
      <c r="B240" s="45"/>
      <c r="C240" s="4">
        <v>1</v>
      </c>
      <c r="D240" s="4">
        <v>20</v>
      </c>
      <c r="E240" s="4">
        <v>10</v>
      </c>
      <c r="F240" s="4">
        <v>20</v>
      </c>
      <c r="G240" s="4">
        <v>0.25</v>
      </c>
      <c r="H240" s="4">
        <v>16</v>
      </c>
      <c r="I240" s="11">
        <f>10^3*0.06894757*(2*H240*0.25)/(20*$C$240)</f>
        <v>27.579028000000001</v>
      </c>
      <c r="J240" s="4">
        <v>16</v>
      </c>
      <c r="K240" s="11">
        <f>10^3*0.06894757*(2*J240*0.25)/(20*$C$240)</f>
        <v>27.579028000000001</v>
      </c>
      <c r="L240" s="4">
        <v>16</v>
      </c>
      <c r="M240" s="11">
        <f>10^3*0.06894757*(2*L240*0.25)/(20*$C$240)</f>
        <v>27.579028000000001</v>
      </c>
      <c r="N240" s="4">
        <v>16</v>
      </c>
      <c r="O240" s="11">
        <f>10^3*0.06894757*(2*N240*0.25)/(20*$C$240)</f>
        <v>27.579028000000001</v>
      </c>
      <c r="P240" s="4">
        <v>16</v>
      </c>
      <c r="Q240" s="11">
        <f>10^3*0.06894757*(2*P240*0.25)/(20*$C$240)</f>
        <v>27.579028000000001</v>
      </c>
      <c r="R240" s="4">
        <v>15.3</v>
      </c>
      <c r="S240" s="11">
        <f>10^3*0.06894757*(2*R240*0.25)/(20*$C$240)</f>
        <v>26.372445525</v>
      </c>
      <c r="T240" s="4">
        <v>14.6</v>
      </c>
      <c r="U240" s="11">
        <f>10^3*0.06894757*(2*T240*0.25)/(20*$C$240)</f>
        <v>25.165863049999999</v>
      </c>
      <c r="V240" s="4">
        <v>12.5</v>
      </c>
      <c r="W240" s="11">
        <f>10^3*0.06894757*(2*V240*0.25)/(20*$C$240)</f>
        <v>21.546115624999999</v>
      </c>
      <c r="X240" s="4">
        <v>10.7</v>
      </c>
      <c r="Y240" s="11">
        <f>10^3*0.06894757*(2*X240*0.25)/(20*$C$240)</f>
        <v>18.443474974999997</v>
      </c>
      <c r="Z240" s="4">
        <v>9.1999999999999993</v>
      </c>
      <c r="AA240" s="12">
        <f>10^3*0.06894757*(2*Z240*0.25)/(20*$C$240)</f>
        <v>15.8579411</v>
      </c>
    </row>
    <row r="241" spans="1:27" x14ac:dyDescent="0.25">
      <c r="A241" s="43"/>
      <c r="B241" s="45"/>
      <c r="C241" s="4">
        <v>1</v>
      </c>
      <c r="D241" s="4">
        <v>20</v>
      </c>
      <c r="E241" s="4">
        <v>30</v>
      </c>
      <c r="F241" s="4">
        <v>20</v>
      </c>
      <c r="G241" s="4">
        <v>0.5</v>
      </c>
      <c r="H241" s="4">
        <v>16</v>
      </c>
      <c r="I241" s="11">
        <f>10^3*0.06894757*(2*H241*0.5)/(20*$C$241)</f>
        <v>55.158056000000002</v>
      </c>
      <c r="J241" s="4">
        <v>16</v>
      </c>
      <c r="K241" s="11">
        <f>10^3*0.06894757*(2*J241*0.5)/(20*$C$241)</f>
        <v>55.158056000000002</v>
      </c>
      <c r="L241" s="4">
        <v>16</v>
      </c>
      <c r="M241" s="11">
        <f>10^3*0.06894757*(2*L241*0.5)/(20*$C$241)</f>
        <v>55.158056000000002</v>
      </c>
      <c r="N241" s="4">
        <v>16</v>
      </c>
      <c r="O241" s="11">
        <f>10^3*0.06894757*(2*N241*0.5)/(20*$C$241)</f>
        <v>55.158056000000002</v>
      </c>
      <c r="P241" s="4">
        <v>16</v>
      </c>
      <c r="Q241" s="11">
        <f>10^3*0.06894757*(2*P241*0.5)/(20*$C$241)</f>
        <v>55.158056000000002</v>
      </c>
      <c r="R241" s="4">
        <v>15.3</v>
      </c>
      <c r="S241" s="11">
        <f>10^3*0.06894757*(2*R241*0.5)/(20*$C$241)</f>
        <v>52.74489105</v>
      </c>
      <c r="T241" s="4">
        <v>14.6</v>
      </c>
      <c r="U241" s="11">
        <f>10^3*0.06894757*(2*T241*0.5)/(20*$C$241)</f>
        <v>50.331726099999997</v>
      </c>
      <c r="V241" s="4">
        <v>12.5</v>
      </c>
      <c r="W241" s="11">
        <f>10^3*0.06894757*(2*V241*0.5)/(20*$C$241)</f>
        <v>43.092231249999998</v>
      </c>
      <c r="X241" s="4">
        <v>10.7</v>
      </c>
      <c r="Y241" s="11">
        <f>10^3*0.06894757*(2*X241*0.5)/(20*$C$241)</f>
        <v>36.886949949999995</v>
      </c>
      <c r="Z241" s="4">
        <v>9.1999999999999993</v>
      </c>
      <c r="AA241" s="12">
        <f>10^3*0.06894757*(2*Z241*0.5)/(20*$C$241)</f>
        <v>31.715882199999999</v>
      </c>
    </row>
    <row r="242" spans="1:27" x14ac:dyDescent="0.25">
      <c r="A242" s="43"/>
      <c r="B242" s="45"/>
      <c r="C242" s="4">
        <v>1</v>
      </c>
      <c r="D242" s="4">
        <v>20</v>
      </c>
      <c r="E242" s="4">
        <v>40</v>
      </c>
      <c r="F242" s="4">
        <v>20</v>
      </c>
      <c r="G242" s="4">
        <v>0.59399999999999997</v>
      </c>
      <c r="H242" s="4">
        <v>16</v>
      </c>
      <c r="I242" s="11">
        <f>10^3*0.06894757*(2*H242*0.594)/(20*$C$242)</f>
        <v>65.527770527999991</v>
      </c>
      <c r="J242" s="4">
        <v>16</v>
      </c>
      <c r="K242" s="11">
        <f>10^3*0.06894757*(2*J242*0.594)/(20*$C$242)</f>
        <v>65.527770527999991</v>
      </c>
      <c r="L242" s="4">
        <v>16</v>
      </c>
      <c r="M242" s="11">
        <f>10^3*0.06894757*(2*L242*0.594)/(20*$C$242)</f>
        <v>65.527770527999991</v>
      </c>
      <c r="N242" s="4">
        <v>16</v>
      </c>
      <c r="O242" s="11">
        <f>10^3*0.06894757*(2*N242*0.594)/(20*$C$242)</f>
        <v>65.527770527999991</v>
      </c>
      <c r="P242" s="4">
        <v>16</v>
      </c>
      <c r="Q242" s="11">
        <f>10^3*0.06894757*(2*P242*0.594)/(20*$C$242)</f>
        <v>65.527770527999991</v>
      </c>
      <c r="R242" s="4">
        <v>15.3</v>
      </c>
      <c r="S242" s="11">
        <f>10^3*0.06894757*(2*R242*0.594)/(20*$C$242)</f>
        <v>62.660930567400001</v>
      </c>
      <c r="T242" s="4">
        <v>14.6</v>
      </c>
      <c r="U242" s="11">
        <f>10^3*0.06894757*(2*T242*0.594)/(20*$C$242)</f>
        <v>59.794090606799998</v>
      </c>
      <c r="V242" s="4">
        <v>12.5</v>
      </c>
      <c r="W242" s="11">
        <f>10^3*0.06894757*(2*V242*0.594)/(20*$C$242)</f>
        <v>51.193570725000001</v>
      </c>
      <c r="X242" s="4">
        <v>10.7</v>
      </c>
      <c r="Y242" s="11">
        <f>10^3*0.06894757*(2*X242*0.594)/(20*$C$242)</f>
        <v>43.821696540599994</v>
      </c>
      <c r="Z242" s="4">
        <v>9.1999999999999993</v>
      </c>
      <c r="AA242" s="12">
        <f>10^3*0.06894757*(2*Z242*0.594)/(20*$C$242)</f>
        <v>37.678468053599993</v>
      </c>
    </row>
    <row r="243" spans="1:27" x14ac:dyDescent="0.25">
      <c r="A243" s="43"/>
      <c r="B243" s="45"/>
      <c r="C243" s="4">
        <v>1</v>
      </c>
      <c r="D243" s="4">
        <v>20</v>
      </c>
      <c r="E243" s="4">
        <v>80</v>
      </c>
      <c r="F243" s="4">
        <v>20</v>
      </c>
      <c r="G243" s="4">
        <v>1.0309999999999999</v>
      </c>
      <c r="H243" s="4">
        <v>16</v>
      </c>
      <c r="I243" s="11">
        <f>10^3*0.06894757*(2*H243*1.031)/(20*$C$243)</f>
        <v>113.735911472</v>
      </c>
      <c r="J243" s="4">
        <v>16</v>
      </c>
      <c r="K243" s="11">
        <f>10^3*0.06894757*(2*J243*1.031)/(20*$C$243)</f>
        <v>113.735911472</v>
      </c>
      <c r="L243" s="4">
        <v>16</v>
      </c>
      <c r="M243" s="11">
        <f>10^3*0.06894757*(2*L243*1.031)/(20*$C$243)</f>
        <v>113.735911472</v>
      </c>
      <c r="N243" s="4">
        <v>16</v>
      </c>
      <c r="O243" s="11">
        <f>10^3*0.06894757*(2*N243*1.031)/(20*$C$243)</f>
        <v>113.735911472</v>
      </c>
      <c r="P243" s="4">
        <v>16</v>
      </c>
      <c r="Q243" s="11">
        <f>10^3*0.06894757*(2*P243*1.031)/(20*$C$243)</f>
        <v>113.735911472</v>
      </c>
      <c r="R243" s="4">
        <v>15.3</v>
      </c>
      <c r="S243" s="11">
        <f>10^3*0.06894757*(2*R243*1.031)/(20*$C$243)</f>
        <v>108.7599653451</v>
      </c>
      <c r="T243" s="4">
        <v>14.6</v>
      </c>
      <c r="U243" s="11">
        <f>10^3*0.06894757*(2*T243*1.031)/(20*$C$243)</f>
        <v>103.78401921819997</v>
      </c>
      <c r="V243" s="4">
        <v>12.5</v>
      </c>
      <c r="W243" s="11">
        <f>10^3*0.06894757*(2*V243*1.031)/(20*$C$243)</f>
        <v>88.856180837499991</v>
      </c>
      <c r="X243" s="4">
        <v>10.7</v>
      </c>
      <c r="Y243" s="11">
        <f>10^3*0.06894757*(2*X243*1.031)/(20*$C$243)</f>
        <v>76.060890796899997</v>
      </c>
      <c r="Z243" s="4">
        <v>9.1999999999999993</v>
      </c>
      <c r="AA243" s="12">
        <f>10^3*0.06894757*(2*Z243*1.031)/(20*$C$243)</f>
        <v>65.39814909639999</v>
      </c>
    </row>
    <row r="244" spans="1:27" ht="16.5" thickBot="1" x14ac:dyDescent="0.3">
      <c r="A244" s="43"/>
      <c r="B244" s="46"/>
      <c r="C244" s="5">
        <v>1</v>
      </c>
      <c r="D244" s="5">
        <v>20</v>
      </c>
      <c r="E244" s="5">
        <v>160</v>
      </c>
      <c r="F244" s="5">
        <v>20</v>
      </c>
      <c r="G244" s="5">
        <v>1.9690000000000001</v>
      </c>
      <c r="H244" s="5">
        <v>16</v>
      </c>
      <c r="I244" s="13">
        <f>10^3*0.06894757*(2*H244*1.969)/(20*$C$244)</f>
        <v>217.21242452800001</v>
      </c>
      <c r="J244" s="5">
        <v>16</v>
      </c>
      <c r="K244" s="13">
        <f>10^3*0.06894757*(2*J244*1.969)/(20*$C$244)</f>
        <v>217.21242452800001</v>
      </c>
      <c r="L244" s="5">
        <v>16</v>
      </c>
      <c r="M244" s="13">
        <f>10^3*0.06894757*(2*L244*1.969)/(20*$C$244)</f>
        <v>217.21242452800001</v>
      </c>
      <c r="N244" s="5">
        <v>16</v>
      </c>
      <c r="O244" s="13">
        <f>10^3*0.06894757*(2*N244*1.969)/(20*$C$244)</f>
        <v>217.21242452800001</v>
      </c>
      <c r="P244" s="5">
        <v>16</v>
      </c>
      <c r="Q244" s="13">
        <f>10^3*0.06894757*(2*P244*1.969)/(20*$C$244)</f>
        <v>217.21242452800001</v>
      </c>
      <c r="R244" s="5">
        <v>15.3</v>
      </c>
      <c r="S244" s="13">
        <f>10^3*0.06894757*(2*R244*1.969)/(20*$C$244)</f>
        <v>207.70938095490001</v>
      </c>
      <c r="T244" s="5">
        <v>14.6</v>
      </c>
      <c r="U244" s="13">
        <f>10^3*0.06894757*(2*T244*1.969)/(20*$C$244)</f>
        <v>198.20633738179998</v>
      </c>
      <c r="V244" s="5">
        <v>12.5</v>
      </c>
      <c r="W244" s="13">
        <f>10^3*0.06894757*(2*V244*1.969)/(20*$C$244)</f>
        <v>169.69720666250001</v>
      </c>
      <c r="X244" s="5">
        <v>10.7</v>
      </c>
      <c r="Y244" s="13">
        <f>10^3*0.06894757*(2*X244*1.969)/(20*$C$244)</f>
        <v>145.26080890309998</v>
      </c>
      <c r="Z244" s="5">
        <v>9.1999999999999993</v>
      </c>
      <c r="AA244" s="14">
        <f>10^3*0.06894757*(2*Z244*1.969)/(20*$C$244)</f>
        <v>124.8971441036</v>
      </c>
    </row>
    <row r="245" spans="1:27" x14ac:dyDescent="0.25">
      <c r="A245" s="43"/>
      <c r="B245" s="44" t="s">
        <v>1</v>
      </c>
      <c r="C245" s="3">
        <v>1</v>
      </c>
      <c r="D245" s="3">
        <v>20</v>
      </c>
      <c r="E245" s="3">
        <v>5</v>
      </c>
      <c r="F245" s="19">
        <v>20</v>
      </c>
      <c r="G245" s="3">
        <v>0.188</v>
      </c>
      <c r="H245" s="3">
        <v>20</v>
      </c>
      <c r="I245" s="9">
        <f>10^3*0.06894757*(2*H245*0.188)/(20*$C$245)</f>
        <v>25.92428632</v>
      </c>
      <c r="J245" s="3">
        <v>20</v>
      </c>
      <c r="K245" s="9">
        <f>10^3*0.06894757*(2*J245*0.188)/(20*$C$245)</f>
        <v>25.92428632</v>
      </c>
      <c r="L245" s="3">
        <v>20</v>
      </c>
      <c r="M245" s="9">
        <f>10^3*0.06894757*(2*L245*0.188)/(20*$C$245)</f>
        <v>25.92428632</v>
      </c>
      <c r="N245" s="3">
        <v>19.899999999999999</v>
      </c>
      <c r="O245" s="9">
        <f>10^3*0.06894757*(2*N245*0.188)/(20*$C$245)</f>
        <v>25.794664888399996</v>
      </c>
      <c r="P245" s="3">
        <v>19</v>
      </c>
      <c r="Q245" s="9">
        <f>10^3*0.06894757*(2*P245*0.188)/(20*$C$245)</f>
        <v>24.628072004</v>
      </c>
      <c r="R245" s="3">
        <v>17.899999999999999</v>
      </c>
      <c r="S245" s="9">
        <f>10^3*0.06894757*(2*R245*0.188)/(20*$C$245)</f>
        <v>23.202236256399999</v>
      </c>
      <c r="T245" s="3">
        <v>17.3</v>
      </c>
      <c r="U245" s="9">
        <f>10^3*0.06894757*(2*T245*0.188)/(20*$C$245)</f>
        <v>22.4245076668</v>
      </c>
      <c r="V245" s="3">
        <v>16.7</v>
      </c>
      <c r="W245" s="9">
        <f>10^3*0.06894757*(2*V245*0.188)/(20*$C$245)</f>
        <v>21.646779077199998</v>
      </c>
      <c r="X245" s="3">
        <v>13.9</v>
      </c>
      <c r="Y245" s="9">
        <f>10^3*0.06894757*(2*X245*0.188)/(20*$C$245)</f>
        <v>18.017378992400001</v>
      </c>
      <c r="Z245" s="3">
        <v>11.4</v>
      </c>
      <c r="AA245" s="10">
        <f>10^3*0.06894757*(2*Z245*0.188)/(20*$C$245)</f>
        <v>14.776843202400002</v>
      </c>
    </row>
    <row r="246" spans="1:27" x14ac:dyDescent="0.25">
      <c r="A246" s="43"/>
      <c r="B246" s="45"/>
      <c r="C246" s="4">
        <v>1</v>
      </c>
      <c r="D246" s="4">
        <v>20</v>
      </c>
      <c r="E246" s="4">
        <v>10</v>
      </c>
      <c r="F246" s="4">
        <v>20</v>
      </c>
      <c r="G246" s="4">
        <v>0.25</v>
      </c>
      <c r="H246" s="4">
        <v>20</v>
      </c>
      <c r="I246" s="11">
        <f>10^3*0.06894757*(2*H246*0.25)/(20*$C$246)</f>
        <v>34.473784999999999</v>
      </c>
      <c r="J246" s="4">
        <v>20</v>
      </c>
      <c r="K246" s="11">
        <f>10^3*0.06894757*(2*J246*0.25)/(20*$C$246)</f>
        <v>34.473784999999999</v>
      </c>
      <c r="L246" s="4">
        <v>20</v>
      </c>
      <c r="M246" s="11">
        <f>10^3*0.06894757*(2*L246*0.25)/(20*$C$246)</f>
        <v>34.473784999999999</v>
      </c>
      <c r="N246" s="4">
        <v>19.899999999999999</v>
      </c>
      <c r="O246" s="11">
        <f>10^3*0.06894757*(2*N246*0.25)/(20*$C$246)</f>
        <v>34.301416074999999</v>
      </c>
      <c r="P246" s="4">
        <v>19</v>
      </c>
      <c r="Q246" s="11">
        <f>10^3*0.06894757*(2*P246*0.25)/(20*$C$246)</f>
        <v>32.75009575</v>
      </c>
      <c r="R246" s="4">
        <v>17.899999999999999</v>
      </c>
      <c r="S246" s="11">
        <f>10^3*0.06894757*(2*R246*0.25)/(20*$C$246)</f>
        <v>30.854037574999996</v>
      </c>
      <c r="T246" s="4">
        <v>17.3</v>
      </c>
      <c r="U246" s="11">
        <f>10^3*0.06894757*(2*T246*0.25)/(20*$C$246)</f>
        <v>29.819824025000003</v>
      </c>
      <c r="V246" s="4">
        <v>16.7</v>
      </c>
      <c r="W246" s="11">
        <f>10^3*0.06894757*(2*V246*0.25)/(20*$C$246)</f>
        <v>28.785610474999999</v>
      </c>
      <c r="X246" s="4">
        <v>13.9</v>
      </c>
      <c r="Y246" s="11">
        <f>10^3*0.06894757*(2*X246*0.25)/(20*$C$246)</f>
        <v>23.959280575000001</v>
      </c>
      <c r="Z246" s="4">
        <v>11.4</v>
      </c>
      <c r="AA246" s="12">
        <f>10^3*0.06894757*(2*Z246*0.25)/(20*$C$246)</f>
        <v>19.650057449999998</v>
      </c>
    </row>
    <row r="247" spans="1:27" x14ac:dyDescent="0.25">
      <c r="A247" s="43"/>
      <c r="B247" s="45"/>
      <c r="C247" s="4">
        <v>1</v>
      </c>
      <c r="D247" s="4">
        <v>20</v>
      </c>
      <c r="E247" s="4">
        <v>30</v>
      </c>
      <c r="F247" s="4">
        <v>20</v>
      </c>
      <c r="G247" s="4">
        <v>0.5</v>
      </c>
      <c r="H247" s="4">
        <v>20</v>
      </c>
      <c r="I247" s="11">
        <f>10^3*0.06894757*(2*H247*0.5)/(20*$C$247)</f>
        <v>68.947569999999999</v>
      </c>
      <c r="J247" s="4">
        <v>20</v>
      </c>
      <c r="K247" s="11">
        <f>10^3*0.06894757*(2*J247*0.5)/(20*$C$247)</f>
        <v>68.947569999999999</v>
      </c>
      <c r="L247" s="4">
        <v>20</v>
      </c>
      <c r="M247" s="11">
        <f>10^3*0.06894757*(2*L247*0.5)/(20*$C$247)</f>
        <v>68.947569999999999</v>
      </c>
      <c r="N247" s="4">
        <v>19.899999999999999</v>
      </c>
      <c r="O247" s="11">
        <f>10^3*0.06894757*(2*N247*0.5)/(20*$C$247)</f>
        <v>68.602832149999998</v>
      </c>
      <c r="P247" s="4">
        <v>19</v>
      </c>
      <c r="Q247" s="11">
        <f>10^3*0.06894757*(2*P247*0.5)/(20*$C$247)</f>
        <v>65.5001915</v>
      </c>
      <c r="R247" s="4">
        <v>17.899999999999999</v>
      </c>
      <c r="S247" s="11">
        <f>10^3*0.06894757*(2*R247*0.5)/(20*$C$247)</f>
        <v>61.708075149999992</v>
      </c>
      <c r="T247" s="4">
        <v>17.3</v>
      </c>
      <c r="U247" s="11">
        <f>10^3*0.06894757*(2*T247*0.5)/(20*$C$247)</f>
        <v>59.639648050000005</v>
      </c>
      <c r="V247" s="4">
        <v>16.7</v>
      </c>
      <c r="W247" s="11">
        <f>10^3*0.06894757*(2*V247*0.5)/(20*$C$247)</f>
        <v>57.571220949999997</v>
      </c>
      <c r="X247" s="4">
        <v>13.9</v>
      </c>
      <c r="Y247" s="11">
        <f>10^3*0.06894757*(2*X247*0.5)/(20*$C$247)</f>
        <v>47.918561150000002</v>
      </c>
      <c r="Z247" s="4">
        <v>11.4</v>
      </c>
      <c r="AA247" s="12">
        <f>10^3*0.06894757*(2*Z247*0.5)/(20*$C$247)</f>
        <v>39.300114899999997</v>
      </c>
    </row>
    <row r="248" spans="1:27" x14ac:dyDescent="0.25">
      <c r="A248" s="43"/>
      <c r="B248" s="45"/>
      <c r="C248" s="4">
        <v>1</v>
      </c>
      <c r="D248" s="4">
        <v>20</v>
      </c>
      <c r="E248" s="4">
        <v>40</v>
      </c>
      <c r="F248" s="4">
        <v>20</v>
      </c>
      <c r="G248" s="4">
        <v>0.59399999999999997</v>
      </c>
      <c r="H248" s="4">
        <v>20</v>
      </c>
      <c r="I248" s="11">
        <f>10^3*0.06894757*(2*H248*0.594)/(20*$C$248)</f>
        <v>81.909713159999995</v>
      </c>
      <c r="J248" s="4">
        <v>20</v>
      </c>
      <c r="K248" s="11">
        <f>10^3*0.06894757*(2*J248*0.594)/(20*$C$248)</f>
        <v>81.909713159999995</v>
      </c>
      <c r="L248" s="4">
        <v>20</v>
      </c>
      <c r="M248" s="11">
        <f>10^3*0.06894757*(2*L248*0.594)/(20*$C$248)</f>
        <v>81.909713159999995</v>
      </c>
      <c r="N248" s="4">
        <v>19.899999999999999</v>
      </c>
      <c r="O248" s="11">
        <f>10^3*0.06894757*(2*N248*0.594)/(20*$C$248)</f>
        <v>81.500164594199987</v>
      </c>
      <c r="P248" s="4">
        <v>19</v>
      </c>
      <c r="Q248" s="11">
        <f>10^3*0.06894757*(2*P248*0.594)/(20*$C$248)</f>
        <v>77.814227501999994</v>
      </c>
      <c r="R248" s="4">
        <v>17.899999999999999</v>
      </c>
      <c r="S248" s="11">
        <f>10^3*0.06894757*(2*R248*0.594)/(20*$C$248)</f>
        <v>73.309193278199984</v>
      </c>
      <c r="T248" s="4">
        <v>17.3</v>
      </c>
      <c r="U248" s="11">
        <f>10^3*0.06894757*(2*T248*0.594)/(20*$C$248)</f>
        <v>70.851901883399989</v>
      </c>
      <c r="V248" s="4">
        <v>16.7</v>
      </c>
      <c r="W248" s="11">
        <f>10^3*0.06894757*(2*V248*0.594)/(20*$C$248)</f>
        <v>68.394610488599994</v>
      </c>
      <c r="X248" s="4">
        <v>13.9</v>
      </c>
      <c r="Y248" s="11">
        <f>10^3*0.06894757*(2*X248*0.594)/(20*$C$248)</f>
        <v>56.927250646200001</v>
      </c>
      <c r="Z248" s="4">
        <v>11.4</v>
      </c>
      <c r="AA248" s="12">
        <f>10^3*0.06894757*(2*Z248*0.594)/(20*$C$248)</f>
        <v>46.688536501200005</v>
      </c>
    </row>
    <row r="249" spans="1:27" x14ac:dyDescent="0.25">
      <c r="A249" s="43"/>
      <c r="B249" s="45"/>
      <c r="C249" s="4">
        <v>1</v>
      </c>
      <c r="D249" s="4">
        <v>20</v>
      </c>
      <c r="E249" s="4">
        <v>80</v>
      </c>
      <c r="F249" s="4">
        <v>20</v>
      </c>
      <c r="G249" s="4">
        <v>1.0309999999999999</v>
      </c>
      <c r="H249" s="4">
        <v>20</v>
      </c>
      <c r="I249" s="11">
        <f>10^3*0.06894757*(2*H249*1.031)/(20*$C$249)</f>
        <v>142.16988934</v>
      </c>
      <c r="J249" s="4">
        <v>20</v>
      </c>
      <c r="K249" s="11">
        <f>10^3*0.06894757*(2*J249*1.031)/(20*$C$249)</f>
        <v>142.16988934</v>
      </c>
      <c r="L249" s="4">
        <v>20</v>
      </c>
      <c r="M249" s="11">
        <f>10^3*0.06894757*(2*L249*1.031)/(20*$C$249)</f>
        <v>142.16988934</v>
      </c>
      <c r="N249" s="4">
        <v>19.899999999999999</v>
      </c>
      <c r="O249" s="11">
        <f>10^3*0.06894757*(2*N249*1.031)/(20*$C$249)</f>
        <v>141.45903989329997</v>
      </c>
      <c r="P249" s="4">
        <v>19</v>
      </c>
      <c r="Q249" s="11">
        <f>10^3*0.06894757*(2*P249*1.031)/(20*$C$249)</f>
        <v>135.06139487299998</v>
      </c>
      <c r="R249" s="4">
        <v>17.899999999999999</v>
      </c>
      <c r="S249" s="11">
        <f>10^3*0.06894757*(2*R249*1.031)/(20*$C$249)</f>
        <v>127.24205095929999</v>
      </c>
      <c r="T249" s="4">
        <v>17.3</v>
      </c>
      <c r="U249" s="11">
        <f>10^3*0.06894757*(2*T249*1.031)/(20*$C$249)</f>
        <v>122.97695427909999</v>
      </c>
      <c r="V249" s="4">
        <v>16.7</v>
      </c>
      <c r="W249" s="11">
        <f>10^3*0.06894757*(2*V249*1.031)/(20*$C$249)</f>
        <v>118.71185759889997</v>
      </c>
      <c r="X249" s="4">
        <v>13.9</v>
      </c>
      <c r="Y249" s="11">
        <f>10^3*0.06894757*(2*X249*1.031)/(20*$C$249)</f>
        <v>98.808073091299988</v>
      </c>
      <c r="Z249" s="4">
        <v>11.4</v>
      </c>
      <c r="AA249" s="12">
        <f>10^3*0.06894757*(2*Z249*1.031)/(20*$C$249)</f>
        <v>81.036836923799996</v>
      </c>
    </row>
    <row r="250" spans="1:27" ht="16.5" thickBot="1" x14ac:dyDescent="0.3">
      <c r="A250" s="43"/>
      <c r="B250" s="46"/>
      <c r="C250" s="5">
        <v>1</v>
      </c>
      <c r="D250" s="5">
        <v>20</v>
      </c>
      <c r="E250" s="5">
        <v>160</v>
      </c>
      <c r="F250" s="5">
        <v>20</v>
      </c>
      <c r="G250" s="5">
        <v>1.9690000000000001</v>
      </c>
      <c r="H250" s="5">
        <v>20</v>
      </c>
      <c r="I250" s="13">
        <f>10^3*0.06894757*(2*H250*1.969)/(20*$C$250)</f>
        <v>271.51553066000002</v>
      </c>
      <c r="J250" s="5">
        <v>20</v>
      </c>
      <c r="K250" s="13">
        <f>10^3*0.06894757*(2*J250*1.969)/(20*$C$250)</f>
        <v>271.51553066000002</v>
      </c>
      <c r="L250" s="5">
        <v>20</v>
      </c>
      <c r="M250" s="13">
        <f>10^3*0.06894757*(2*L250*1.969)/(20*$C$250)</f>
        <v>271.51553066000002</v>
      </c>
      <c r="N250" s="5">
        <v>19.899999999999999</v>
      </c>
      <c r="O250" s="13">
        <f>10^3*0.06894757*(2*N250*1.969)/(20*$C$250)</f>
        <v>270.15795300669998</v>
      </c>
      <c r="P250" s="5">
        <v>19</v>
      </c>
      <c r="Q250" s="13">
        <f>10^3*0.06894757*(2*P250*1.969)/(20*$C$250)</f>
        <v>257.93975412700001</v>
      </c>
      <c r="R250" s="5">
        <v>17.899999999999999</v>
      </c>
      <c r="S250" s="13">
        <f>10^3*0.06894757*(2*R250*1.969)/(20*$C$250)</f>
        <v>243.00639994070002</v>
      </c>
      <c r="T250" s="5">
        <v>17.3</v>
      </c>
      <c r="U250" s="13">
        <f>10^3*0.06894757*(2*T250*1.969)/(20*$C$250)</f>
        <v>234.8609340209</v>
      </c>
      <c r="V250" s="5">
        <v>16.7</v>
      </c>
      <c r="W250" s="13">
        <f>10^3*0.06894757*(2*V250*1.969)/(20*$C$250)</f>
        <v>226.71546810109999</v>
      </c>
      <c r="X250" s="5">
        <v>13.9</v>
      </c>
      <c r="Y250" s="13">
        <f>10^3*0.06894757*(2*X250*1.969)/(20*$C$250)</f>
        <v>188.70329380870004</v>
      </c>
      <c r="Z250" s="5">
        <v>11.4</v>
      </c>
      <c r="AA250" s="14">
        <f>10^3*0.06894757*(2*Z250*1.969)/(20*$C$250)</f>
        <v>154.76385247620001</v>
      </c>
    </row>
    <row r="251" spans="1:27" x14ac:dyDescent="0.25">
      <c r="A251" s="43"/>
      <c r="B251" s="44" t="s">
        <v>6</v>
      </c>
      <c r="C251" s="3">
        <v>1</v>
      </c>
      <c r="D251" s="3">
        <v>20</v>
      </c>
      <c r="E251" s="3">
        <v>5</v>
      </c>
      <c r="F251" s="19">
        <v>20</v>
      </c>
      <c r="G251" s="3">
        <v>0.188</v>
      </c>
      <c r="H251" s="6">
        <v>23.3</v>
      </c>
      <c r="I251" s="9">
        <f>10^3*0.06894757*(2*H251*0.188)/(20*$C$251)</f>
        <v>30.201793562799999</v>
      </c>
      <c r="J251" s="6">
        <v>23.3</v>
      </c>
      <c r="K251" s="9">
        <f>10^3*0.06894757*(2*J251*0.188)/(20*$C$251)</f>
        <v>30.201793562799999</v>
      </c>
      <c r="L251" s="6">
        <v>23.3</v>
      </c>
      <c r="M251" s="9">
        <f>10^3*0.06894757*(2*L251*0.188)/(20*$C$251)</f>
        <v>30.201793562799999</v>
      </c>
      <c r="N251" s="6">
        <v>22.8</v>
      </c>
      <c r="O251" s="9">
        <f>10^3*0.06894757*(2*N251*0.188)/(20*$C$251)</f>
        <v>29.553686404800004</v>
      </c>
      <c r="P251" s="6">
        <v>21.7</v>
      </c>
      <c r="Q251" s="9">
        <f>10^3*0.06894757*(2*P251*0.188)/(20*$C$251)</f>
        <v>28.127850657200003</v>
      </c>
      <c r="R251" s="6">
        <v>20.399999999999999</v>
      </c>
      <c r="S251" s="9">
        <f>10^3*0.06894757*(2*R251*0.188)/(20*$C$251)</f>
        <v>26.442772046400002</v>
      </c>
      <c r="T251" s="6">
        <v>19.8</v>
      </c>
      <c r="U251" s="9">
        <f>10^3*0.06894757*(2*T251*0.188)/(20*$C$251)</f>
        <v>25.665043456799999</v>
      </c>
      <c r="V251" s="6">
        <v>18.3</v>
      </c>
      <c r="W251" s="9">
        <f>10^3*0.06894757*(2*V251*0.188)/(20*$C$251)</f>
        <v>23.720721982800001</v>
      </c>
      <c r="X251" s="6">
        <v>14.8</v>
      </c>
      <c r="Y251" s="9">
        <f>10^3*0.06894757*(2*X251*0.188)/(20*$C$251)</f>
        <v>19.183971876799998</v>
      </c>
      <c r="Z251" s="6">
        <v>12</v>
      </c>
      <c r="AA251" s="10">
        <f>10^3*0.06894757*(2*Z251*0.188)/(20*$C$251)</f>
        <v>15.554571792000001</v>
      </c>
    </row>
    <row r="252" spans="1:27" x14ac:dyDescent="0.25">
      <c r="A252" s="43"/>
      <c r="B252" s="45"/>
      <c r="C252" s="4">
        <v>1</v>
      </c>
      <c r="D252" s="4">
        <v>20</v>
      </c>
      <c r="E252" s="4">
        <v>10</v>
      </c>
      <c r="F252" s="4">
        <v>20</v>
      </c>
      <c r="G252" s="4">
        <v>0.25</v>
      </c>
      <c r="H252" s="7">
        <v>23.3</v>
      </c>
      <c r="I252" s="11">
        <f>10^3*0.06894757*(2*H252*0.25)/(20*$C$252)</f>
        <v>40.161959525</v>
      </c>
      <c r="J252" s="7">
        <v>23.3</v>
      </c>
      <c r="K252" s="11">
        <f>10^3*0.06894757*(2*J252*0.25)/(20*$C$252)</f>
        <v>40.161959525</v>
      </c>
      <c r="L252" s="7">
        <v>23.3</v>
      </c>
      <c r="M252" s="11">
        <f>10^3*0.06894757*(2*L252*0.25)/(20*$C$252)</f>
        <v>40.161959525</v>
      </c>
      <c r="N252" s="7">
        <v>22.8</v>
      </c>
      <c r="O252" s="11">
        <f>10^3*0.06894757*(2*N252*0.25)/(20*$C$252)</f>
        <v>39.300114899999997</v>
      </c>
      <c r="P252" s="7">
        <v>21.7</v>
      </c>
      <c r="Q252" s="11">
        <f>10^3*0.06894757*(2*P252*0.25)/(20*$C$252)</f>
        <v>37.404056724999997</v>
      </c>
      <c r="R252" s="7">
        <v>20.399999999999999</v>
      </c>
      <c r="S252" s="11">
        <f>10^3*0.06894757*(2*R252*0.25)/(20*$C$252)</f>
        <v>35.163260699999995</v>
      </c>
      <c r="T252" s="7">
        <v>19.8</v>
      </c>
      <c r="U252" s="11">
        <f>10^3*0.06894757*(2*T252*0.25)/(20*$C$252)</f>
        <v>34.129047150000005</v>
      </c>
      <c r="V252" s="7">
        <v>18.3</v>
      </c>
      <c r="W252" s="11">
        <f>10^3*0.06894757*(2*V252*0.25)/(20*$C$252)</f>
        <v>31.543513274999999</v>
      </c>
      <c r="X252" s="7">
        <v>14.8</v>
      </c>
      <c r="Y252" s="11">
        <f>10^3*0.06894757*(2*X252*0.25)/(20*$C$252)</f>
        <v>25.5106009</v>
      </c>
      <c r="Z252" s="7">
        <v>12</v>
      </c>
      <c r="AA252" s="12">
        <f>10^3*0.06894757*(2*Z252*0.25)/(20*$C$252)</f>
        <v>20.684271000000003</v>
      </c>
    </row>
    <row r="253" spans="1:27" x14ac:dyDescent="0.25">
      <c r="A253" s="43"/>
      <c r="B253" s="45"/>
      <c r="C253" s="4">
        <v>1</v>
      </c>
      <c r="D253" s="4">
        <v>20</v>
      </c>
      <c r="E253" s="4">
        <v>30</v>
      </c>
      <c r="F253" s="4">
        <v>20</v>
      </c>
      <c r="G253" s="4">
        <v>0.5</v>
      </c>
      <c r="H253" s="7">
        <v>23.3</v>
      </c>
      <c r="I253" s="11">
        <f>10^3*0.06894757*(2*H253*0.5)/(20*$C$253)</f>
        <v>80.323919050000001</v>
      </c>
      <c r="J253" s="7">
        <v>23.3</v>
      </c>
      <c r="K253" s="11">
        <f>10^3*0.06894757*(2*J253*0.5)/(20*$C$253)</f>
        <v>80.323919050000001</v>
      </c>
      <c r="L253" s="7">
        <v>23.3</v>
      </c>
      <c r="M253" s="11">
        <f>10^3*0.06894757*(2*L253*0.5)/(20*$C$253)</f>
        <v>80.323919050000001</v>
      </c>
      <c r="N253" s="7">
        <v>22.8</v>
      </c>
      <c r="O253" s="11">
        <f>10^3*0.06894757*(2*N253*0.5)/(20*$C$253)</f>
        <v>78.600229799999994</v>
      </c>
      <c r="P253" s="7">
        <v>21.7</v>
      </c>
      <c r="Q253" s="11">
        <f>10^3*0.06894757*(2*P253*0.5)/(20*$C$253)</f>
        <v>74.808113449999993</v>
      </c>
      <c r="R253" s="7">
        <v>20.399999999999999</v>
      </c>
      <c r="S253" s="11">
        <f>10^3*0.06894757*(2*R253*0.5)/(20*$C$253)</f>
        <v>70.32652139999999</v>
      </c>
      <c r="T253" s="7">
        <v>19.8</v>
      </c>
      <c r="U253" s="11">
        <f>10^3*0.06894757*(2*T253*0.5)/(20*$C$253)</f>
        <v>68.25809430000001</v>
      </c>
      <c r="V253" s="7">
        <v>18.3</v>
      </c>
      <c r="W253" s="11">
        <f>10^3*0.06894757*(2*V253*0.5)/(20*$C$253)</f>
        <v>63.087026549999997</v>
      </c>
      <c r="X253" s="7">
        <v>14.8</v>
      </c>
      <c r="Y253" s="11">
        <f>10^3*0.06894757*(2*X253*0.5)/(20*$C$253)</f>
        <v>51.0212018</v>
      </c>
      <c r="Z253" s="7">
        <v>12</v>
      </c>
      <c r="AA253" s="12">
        <f>10^3*0.06894757*(2*Z253*0.5)/(20*$C$253)</f>
        <v>41.368542000000005</v>
      </c>
    </row>
    <row r="254" spans="1:27" x14ac:dyDescent="0.25">
      <c r="A254" s="43"/>
      <c r="B254" s="45"/>
      <c r="C254" s="4">
        <v>1</v>
      </c>
      <c r="D254" s="4">
        <v>20</v>
      </c>
      <c r="E254" s="4">
        <v>40</v>
      </c>
      <c r="F254" s="4">
        <v>20</v>
      </c>
      <c r="G254" s="4">
        <v>0.59399999999999997</v>
      </c>
      <c r="H254" s="7">
        <v>23.3</v>
      </c>
      <c r="I254" s="11">
        <f>10^3*0.06894757*(2*H254*0.594)/(20*$C$254)</f>
        <v>95.424815831399997</v>
      </c>
      <c r="J254" s="7">
        <v>23.3</v>
      </c>
      <c r="K254" s="11">
        <f>10^3*0.06894757*(2*J254*0.594)/(20*$C$254)</f>
        <v>95.424815831399997</v>
      </c>
      <c r="L254" s="7">
        <v>23.3</v>
      </c>
      <c r="M254" s="11">
        <f>10^3*0.06894757*(2*L254*0.594)/(20*$C$254)</f>
        <v>95.424815831399997</v>
      </c>
      <c r="N254" s="7">
        <v>22.8</v>
      </c>
      <c r="O254" s="11">
        <f>10^3*0.06894757*(2*N254*0.594)/(20*$C$254)</f>
        <v>93.37707300240001</v>
      </c>
      <c r="P254" s="7">
        <v>21.7</v>
      </c>
      <c r="Q254" s="11">
        <f>10^3*0.06894757*(2*P254*0.594)/(20*$C$254)</f>
        <v>88.8720387786</v>
      </c>
      <c r="R254" s="7">
        <v>20.399999999999999</v>
      </c>
      <c r="S254" s="11">
        <f>10^3*0.06894757*(2*R254*0.594)/(20*$C$254)</f>
        <v>83.547907423199987</v>
      </c>
      <c r="T254" s="7">
        <v>19.8</v>
      </c>
      <c r="U254" s="11">
        <f>10^3*0.06894757*(2*T254*0.594)/(20*$C$254)</f>
        <v>81.090616028400007</v>
      </c>
      <c r="V254" s="7">
        <v>18.3</v>
      </c>
      <c r="W254" s="11">
        <f>10^3*0.06894757*(2*V254*0.594)/(20*$C$254)</f>
        <v>74.947387541400005</v>
      </c>
      <c r="X254" s="7">
        <v>14.8</v>
      </c>
      <c r="Y254" s="11">
        <f>10^3*0.06894757*(2*X254*0.594)/(20*$C$254)</f>
        <v>60.613187738399994</v>
      </c>
      <c r="Z254" s="7">
        <v>12</v>
      </c>
      <c r="AA254" s="12">
        <f>10^3*0.06894757*(2*Z254*0.594)/(20*$C$254)</f>
        <v>49.145827896</v>
      </c>
    </row>
    <row r="255" spans="1:27" x14ac:dyDescent="0.25">
      <c r="A255" s="43"/>
      <c r="B255" s="45"/>
      <c r="C255" s="4">
        <v>1</v>
      </c>
      <c r="D255" s="4">
        <v>20</v>
      </c>
      <c r="E255" s="4">
        <v>80</v>
      </c>
      <c r="F255" s="4">
        <v>20</v>
      </c>
      <c r="G255" s="4">
        <v>1.0309999999999999</v>
      </c>
      <c r="H255" s="7">
        <v>23.3</v>
      </c>
      <c r="I255" s="11">
        <f>10^3*0.06894757*(2*H255*1.031)/(20*$C$255)</f>
        <v>165.62792108109997</v>
      </c>
      <c r="J255" s="7">
        <v>23.3</v>
      </c>
      <c r="K255" s="11">
        <f>10^3*0.06894757*(2*J255*1.031)/(20*$C$255)</f>
        <v>165.62792108109997</v>
      </c>
      <c r="L255" s="7">
        <v>23.3</v>
      </c>
      <c r="M255" s="11">
        <f>10^3*0.06894757*(2*L255*1.031)/(20*$C$255)</f>
        <v>165.62792108109997</v>
      </c>
      <c r="N255" s="7">
        <v>22.8</v>
      </c>
      <c r="O255" s="11">
        <f>10^3*0.06894757*(2*N255*1.031)/(20*$C$255)</f>
        <v>162.07367384759999</v>
      </c>
      <c r="P255" s="7">
        <v>21.7</v>
      </c>
      <c r="Q255" s="11">
        <f>10^3*0.06894757*(2*P255*1.031)/(20*$C$255)</f>
        <v>154.25432993389998</v>
      </c>
      <c r="R255" s="7">
        <v>20.399999999999999</v>
      </c>
      <c r="S255" s="11">
        <f>10^3*0.06894757*(2*R255*1.031)/(20*$C$255)</f>
        <v>145.01328712679998</v>
      </c>
      <c r="T255" s="7">
        <v>19.8</v>
      </c>
      <c r="U255" s="11">
        <f>10^3*0.06894757*(2*T255*1.031)/(20*$C$255)</f>
        <v>140.74819044659998</v>
      </c>
      <c r="V255" s="7">
        <v>18.3</v>
      </c>
      <c r="W255" s="11">
        <f>10^3*0.06894757*(2*V255*1.031)/(20*$C$255)</f>
        <v>130.08544874609998</v>
      </c>
      <c r="X255" s="7">
        <v>14.8</v>
      </c>
      <c r="Y255" s="11">
        <f>10^3*0.06894757*(2*X255*1.031)/(20*$C$255)</f>
        <v>105.20571811159998</v>
      </c>
      <c r="Z255" s="7">
        <v>12</v>
      </c>
      <c r="AA255" s="12">
        <f>10^3*0.06894757*(2*Z255*1.031)/(20*$C$255)</f>
        <v>85.301933603999998</v>
      </c>
    </row>
    <row r="256" spans="1:27" ht="16.5" thickBot="1" x14ac:dyDescent="0.3">
      <c r="A256" s="43"/>
      <c r="B256" s="46"/>
      <c r="C256" s="5">
        <v>1</v>
      </c>
      <c r="D256" s="5">
        <v>20</v>
      </c>
      <c r="E256" s="5">
        <v>160</v>
      </c>
      <c r="F256" s="4">
        <v>20</v>
      </c>
      <c r="G256" s="5">
        <v>1.9690000000000001</v>
      </c>
      <c r="H256" s="8">
        <v>23.3</v>
      </c>
      <c r="I256" s="13">
        <f>10^3*0.06894757*(2*H256*1.969)/(20*$C$256)</f>
        <v>316.31559321890006</v>
      </c>
      <c r="J256" s="8">
        <v>23.3</v>
      </c>
      <c r="K256" s="13">
        <f>10^3*0.06894757*(2*J256*1.969)/(20*$C$256)</f>
        <v>316.31559321890006</v>
      </c>
      <c r="L256" s="8">
        <v>23.3</v>
      </c>
      <c r="M256" s="13">
        <f>10^3*0.06894757*(2*L256*1.969)/(20*$C$256)</f>
        <v>316.31559321890006</v>
      </c>
      <c r="N256" s="8">
        <v>22.8</v>
      </c>
      <c r="O256" s="13">
        <f>10^3*0.06894757*(2*N256*1.969)/(20*$C$256)</f>
        <v>309.52770495240003</v>
      </c>
      <c r="P256" s="8">
        <v>21.7</v>
      </c>
      <c r="Q256" s="13">
        <f>10^3*0.06894757*(2*P256*1.969)/(20*$C$256)</f>
        <v>294.59435076609998</v>
      </c>
      <c r="R256" s="8">
        <v>20.399999999999999</v>
      </c>
      <c r="S256" s="13">
        <f>10^3*0.06894757*(2*R256*1.969)/(20*$C$256)</f>
        <v>276.94584127320002</v>
      </c>
      <c r="T256" s="8">
        <v>19.8</v>
      </c>
      <c r="U256" s="13">
        <f>10^3*0.06894757*(2*T256*1.969)/(20*$C$256)</f>
        <v>268.8003753534</v>
      </c>
      <c r="V256" s="8">
        <v>18.3</v>
      </c>
      <c r="W256" s="13">
        <f>10^3*0.06894757*(2*V256*1.969)/(20*$C$256)</f>
        <v>248.43671055390004</v>
      </c>
      <c r="X256" s="8">
        <v>14.8</v>
      </c>
      <c r="Y256" s="13">
        <f>10^3*0.06894757*(2*X256*1.969)/(20*$C$256)</f>
        <v>200.92149268840001</v>
      </c>
      <c r="Z256" s="8">
        <v>12</v>
      </c>
      <c r="AA256" s="14">
        <f>10^3*0.06894757*(2*Z256*1.969)/(20*$C$256)</f>
        <v>162.909318396</v>
      </c>
    </row>
    <row r="257" spans="1:27" x14ac:dyDescent="0.25">
      <c r="A257" s="43" t="s">
        <v>5</v>
      </c>
      <c r="B257" s="44" t="s">
        <v>2</v>
      </c>
      <c r="C257" s="3">
        <v>1</v>
      </c>
      <c r="D257" s="3">
        <v>22</v>
      </c>
      <c r="E257" s="3">
        <v>5</v>
      </c>
      <c r="F257" s="3">
        <v>22</v>
      </c>
      <c r="G257" s="3">
        <v>0.188</v>
      </c>
      <c r="H257" s="3">
        <v>16</v>
      </c>
      <c r="I257" s="9">
        <f>10^3*0.06894757*(2*H257*0.188)/(22*$C$257)</f>
        <v>18.854026414545455</v>
      </c>
      <c r="J257" s="3">
        <v>16</v>
      </c>
      <c r="K257" s="9">
        <f>10^3*0.06894757*(2*J257*0.188)/(22*$C$257)</f>
        <v>18.854026414545455</v>
      </c>
      <c r="L257" s="3">
        <v>16</v>
      </c>
      <c r="M257" s="9">
        <f>10^3*0.06894757*(2*L257*0.188)/(22*$C$257)</f>
        <v>18.854026414545455</v>
      </c>
      <c r="N257" s="3">
        <v>16</v>
      </c>
      <c r="O257" s="9">
        <f>10^3*0.06894757*(2*N257*0.188)/(22*$C$257)</f>
        <v>18.854026414545455</v>
      </c>
      <c r="P257" s="3">
        <v>16</v>
      </c>
      <c r="Q257" s="9">
        <f>10^3*0.06894757*(2*P257*0.188)/(22*$C$257)</f>
        <v>18.854026414545455</v>
      </c>
      <c r="R257" s="3">
        <v>15.3</v>
      </c>
      <c r="S257" s="9">
        <f>10^3*0.06894757*(2*R257*0.188)/(22*$C$257)</f>
        <v>18.029162758909091</v>
      </c>
      <c r="T257" s="3">
        <v>14.6</v>
      </c>
      <c r="U257" s="9">
        <f>10^3*0.06894757*(2*T257*0.188)/(22*$C$257)</f>
        <v>17.204299103272728</v>
      </c>
      <c r="V257" s="3">
        <v>12.5</v>
      </c>
      <c r="W257" s="9">
        <f>10^3*0.06894757*(2*V257*0.188)/(22*$C$257)</f>
        <v>14.729708136363637</v>
      </c>
      <c r="X257" s="3">
        <v>10.7</v>
      </c>
      <c r="Y257" s="9">
        <f>10^3*0.06894757*(2*X257*0.188)/(22*$C$257)</f>
        <v>12.608630164727272</v>
      </c>
      <c r="Z257" s="3">
        <v>9.1999999999999993</v>
      </c>
      <c r="AA257" s="10">
        <f>10^3*0.06894757*(2*Z257*0.188)/(22*$C$257)</f>
        <v>10.841065188363636</v>
      </c>
    </row>
    <row r="258" spans="1:27" x14ac:dyDescent="0.25">
      <c r="A258" s="43"/>
      <c r="B258" s="45"/>
      <c r="C258" s="4">
        <v>1</v>
      </c>
      <c r="D258" s="4">
        <v>22</v>
      </c>
      <c r="E258" s="4">
        <v>10</v>
      </c>
      <c r="F258" s="4">
        <v>22</v>
      </c>
      <c r="G258" s="4">
        <v>0.25</v>
      </c>
      <c r="H258" s="4">
        <v>16</v>
      </c>
      <c r="I258" s="11">
        <f>10^3*0.06894757*(2*H258*0.25)/(22*$C$258)</f>
        <v>25.071843636363635</v>
      </c>
      <c r="J258" s="4">
        <v>16</v>
      </c>
      <c r="K258" s="11">
        <f>10^3*0.06894757*(2*J258*0.25)/(22*$C$258)</f>
        <v>25.071843636363635</v>
      </c>
      <c r="L258" s="4">
        <v>16</v>
      </c>
      <c r="M258" s="11">
        <f>10^3*0.06894757*(2*L258*0.25)/(22*$C$258)</f>
        <v>25.071843636363635</v>
      </c>
      <c r="N258" s="4">
        <v>16</v>
      </c>
      <c r="O258" s="11">
        <f>10^3*0.06894757*(2*N258*0.25)/(22*$C$258)</f>
        <v>25.071843636363635</v>
      </c>
      <c r="P258" s="4">
        <v>16</v>
      </c>
      <c r="Q258" s="11">
        <f>10^3*0.06894757*(2*P258*0.25)/(22*$C$258)</f>
        <v>25.071843636363635</v>
      </c>
      <c r="R258" s="4">
        <v>15.3</v>
      </c>
      <c r="S258" s="11">
        <f>10^3*0.06894757*(2*R258*0.25)/(22*$C$258)</f>
        <v>23.974950477272728</v>
      </c>
      <c r="T258" s="4">
        <v>14.6</v>
      </c>
      <c r="U258" s="11">
        <f>10^3*0.06894757*(2*T258*0.25)/(22*$C$258)</f>
        <v>22.878057318181817</v>
      </c>
      <c r="V258" s="4">
        <v>12.5</v>
      </c>
      <c r="W258" s="11">
        <f>10^3*0.06894757*(2*V258*0.25)/(22*$C$258)</f>
        <v>19.587377840909088</v>
      </c>
      <c r="X258" s="4">
        <v>10.7</v>
      </c>
      <c r="Y258" s="11">
        <f>10^3*0.06894757*(2*X258*0.25)/(22*$C$258)</f>
        <v>16.766795431818181</v>
      </c>
      <c r="Z258" s="4">
        <v>9.1999999999999993</v>
      </c>
      <c r="AA258" s="12">
        <f>10^3*0.06894757*(2*Z258*0.25)/(22*$C$258)</f>
        <v>14.416310090909091</v>
      </c>
    </row>
    <row r="259" spans="1:27" x14ac:dyDescent="0.25">
      <c r="A259" s="43"/>
      <c r="B259" s="45"/>
      <c r="C259" s="4">
        <v>1</v>
      </c>
      <c r="D259" s="4">
        <v>22</v>
      </c>
      <c r="E259" s="4">
        <v>30</v>
      </c>
      <c r="F259" s="4">
        <v>22</v>
      </c>
      <c r="G259" s="4">
        <v>0.5</v>
      </c>
      <c r="H259" s="4">
        <v>16</v>
      </c>
      <c r="I259" s="11">
        <f>10^3*0.06894757*(2*H259*0.5)/(22*$C$259)</f>
        <v>50.14368727272727</v>
      </c>
      <c r="J259" s="4">
        <v>16</v>
      </c>
      <c r="K259" s="11">
        <f>10^3*0.06894757*(2*J259*0.5)/(22*$C$259)</f>
        <v>50.14368727272727</v>
      </c>
      <c r="L259" s="4">
        <v>16</v>
      </c>
      <c r="M259" s="11">
        <f>10^3*0.06894757*(2*L259*0.5)/(22*$C$259)</f>
        <v>50.14368727272727</v>
      </c>
      <c r="N259" s="4">
        <v>16</v>
      </c>
      <c r="O259" s="11">
        <f>10^3*0.06894757*(2*N259*0.5)/(22*$C$259)</f>
        <v>50.14368727272727</v>
      </c>
      <c r="P259" s="4">
        <v>16</v>
      </c>
      <c r="Q259" s="11">
        <f>10^3*0.06894757*(2*P259*0.5)/(22*$C$259)</f>
        <v>50.14368727272727</v>
      </c>
      <c r="R259" s="4">
        <v>15.3</v>
      </c>
      <c r="S259" s="11">
        <f>10^3*0.06894757*(2*R259*0.5)/(22*$C$259)</f>
        <v>47.949900954545456</v>
      </c>
      <c r="T259" s="4">
        <v>14.6</v>
      </c>
      <c r="U259" s="11">
        <f>10^3*0.06894757*(2*T259*0.5)/(22*$C$259)</f>
        <v>45.756114636363634</v>
      </c>
      <c r="V259" s="4">
        <v>12.5</v>
      </c>
      <c r="W259" s="11">
        <f>10^3*0.06894757*(2*V259*0.5)/(22*$C$259)</f>
        <v>39.174755681818176</v>
      </c>
      <c r="X259" s="4">
        <v>10.7</v>
      </c>
      <c r="Y259" s="11">
        <f>10^3*0.06894757*(2*X259*0.5)/(22*$C$259)</f>
        <v>33.533590863636363</v>
      </c>
      <c r="Z259" s="4">
        <v>9.1999999999999993</v>
      </c>
      <c r="AA259" s="12">
        <f>10^3*0.06894757*(2*Z259*0.5)/(22*$C$259)</f>
        <v>28.832620181818182</v>
      </c>
    </row>
    <row r="260" spans="1:27" x14ac:dyDescent="0.25">
      <c r="A260" s="43"/>
      <c r="B260" s="45"/>
      <c r="C260" s="4">
        <v>1</v>
      </c>
      <c r="D260" s="4">
        <v>22</v>
      </c>
      <c r="E260" s="4">
        <v>40</v>
      </c>
      <c r="F260" s="4">
        <v>22</v>
      </c>
      <c r="G260" s="4"/>
      <c r="H260" s="4">
        <v>16</v>
      </c>
      <c r="I260" s="11"/>
      <c r="J260" s="4">
        <v>16</v>
      </c>
      <c r="K260" s="11"/>
      <c r="L260" s="4">
        <v>16</v>
      </c>
      <c r="M260" s="11"/>
      <c r="N260" s="4">
        <v>16</v>
      </c>
      <c r="O260" s="11"/>
      <c r="P260" s="4">
        <v>16</v>
      </c>
      <c r="Q260" s="11"/>
      <c r="R260" s="4">
        <v>15.3</v>
      </c>
      <c r="S260" s="11"/>
      <c r="T260" s="4">
        <v>14.6</v>
      </c>
      <c r="U260" s="11"/>
      <c r="V260" s="4">
        <v>12.5</v>
      </c>
      <c r="W260" s="11"/>
      <c r="X260" s="4">
        <v>10.7</v>
      </c>
      <c r="Y260" s="11"/>
      <c r="Z260" s="4">
        <v>9.1999999999999993</v>
      </c>
      <c r="AA260" s="12"/>
    </row>
    <row r="261" spans="1:27" x14ac:dyDescent="0.25">
      <c r="A261" s="43"/>
      <c r="B261" s="45"/>
      <c r="C261" s="4">
        <v>1</v>
      </c>
      <c r="D261" s="4">
        <v>22</v>
      </c>
      <c r="E261" s="4">
        <v>80</v>
      </c>
      <c r="F261" s="4">
        <v>22</v>
      </c>
      <c r="G261" s="4">
        <v>1.125</v>
      </c>
      <c r="H261" s="4">
        <v>16</v>
      </c>
      <c r="I261" s="11">
        <f>10^3*0.06894757*(2*H261*1.125)/(22*$C$261)</f>
        <v>112.82329636363637</v>
      </c>
      <c r="J261" s="4">
        <v>16</v>
      </c>
      <c r="K261" s="11">
        <f>10^3*0.06894757*(2*J261*1.125)/(22*$C$261)</f>
        <v>112.82329636363637</v>
      </c>
      <c r="L261" s="4">
        <v>16</v>
      </c>
      <c r="M261" s="11">
        <f>10^3*0.06894757*(2*L261*1.125)/(22*$C$261)</f>
        <v>112.82329636363637</v>
      </c>
      <c r="N261" s="4">
        <v>16</v>
      </c>
      <c r="O261" s="11">
        <f>10^3*0.06894757*(2*N261*1.125)/(22*$C$261)</f>
        <v>112.82329636363637</v>
      </c>
      <c r="P261" s="4">
        <v>16</v>
      </c>
      <c r="Q261" s="11">
        <f>10^3*0.06894757*(2*P261*1.125)/(22*$C$261)</f>
        <v>112.82329636363637</v>
      </c>
      <c r="R261" s="4">
        <v>15.3</v>
      </c>
      <c r="S261" s="11">
        <f>10^3*0.06894757*(2*R261*1.125)/(22*$C$261)</f>
        <v>107.88727714772727</v>
      </c>
      <c r="T261" s="4">
        <v>14.6</v>
      </c>
      <c r="U261" s="11">
        <f>10^3*0.06894757*(2*T261*1.125)/(22*$C$261)</f>
        <v>102.95125793181819</v>
      </c>
      <c r="V261" s="4">
        <v>12.5</v>
      </c>
      <c r="W261" s="11">
        <f>10^3*0.06894757*(2*V261*1.125)/(22*$C$261)</f>
        <v>88.143200284090909</v>
      </c>
      <c r="X261" s="4">
        <v>10.7</v>
      </c>
      <c r="Y261" s="11">
        <f>10^3*0.06894757*(2*X261*1.125)/(22*$C$261)</f>
        <v>75.450579443181809</v>
      </c>
      <c r="Z261" s="4">
        <v>9.1999999999999993</v>
      </c>
      <c r="AA261" s="12">
        <f>10^3*0.06894757*(2*Z261*1.125)/(22*$C$261)</f>
        <v>64.873395409090904</v>
      </c>
    </row>
    <row r="262" spans="1:27" ht="16.5" thickBot="1" x14ac:dyDescent="0.3">
      <c r="A262" s="43"/>
      <c r="B262" s="46"/>
      <c r="C262" s="5">
        <v>1</v>
      </c>
      <c r="D262" s="5">
        <v>22</v>
      </c>
      <c r="E262" s="5">
        <v>160</v>
      </c>
      <c r="F262" s="5">
        <v>22</v>
      </c>
      <c r="G262" s="5">
        <v>2.125</v>
      </c>
      <c r="H262" s="5">
        <v>16</v>
      </c>
      <c r="I262" s="13">
        <f>10^3*0.06894757*(2*H262*2.125)/(22*$C$262)</f>
        <v>213.11067090909091</v>
      </c>
      <c r="J262" s="5">
        <v>16</v>
      </c>
      <c r="K262" s="13">
        <f>10^3*0.06894757*(2*J262*2.125)/(22*$C$262)</f>
        <v>213.11067090909091</v>
      </c>
      <c r="L262" s="5">
        <v>16</v>
      </c>
      <c r="M262" s="13">
        <f>10^3*0.06894757*(2*L262*2.125)/(22*$C$262)</f>
        <v>213.11067090909091</v>
      </c>
      <c r="N262" s="5">
        <v>16</v>
      </c>
      <c r="O262" s="13">
        <f>10^3*0.06894757*(2*N262*2.125)/(22*$C$262)</f>
        <v>213.11067090909091</v>
      </c>
      <c r="P262" s="5">
        <v>16</v>
      </c>
      <c r="Q262" s="13">
        <f>10^3*0.06894757*(2*P262*2.125)/(22*$C$262)</f>
        <v>213.11067090909091</v>
      </c>
      <c r="R262" s="5">
        <v>15.3</v>
      </c>
      <c r="S262" s="13">
        <f>10^3*0.06894757*(2*R262*2.125)/(22*$C$262)</f>
        <v>203.78707905681821</v>
      </c>
      <c r="T262" s="5">
        <v>14.6</v>
      </c>
      <c r="U262" s="13">
        <f>10^3*0.06894757*(2*T262*2.125)/(22*$C$262)</f>
        <v>194.46348720454543</v>
      </c>
      <c r="V262" s="5">
        <v>12.5</v>
      </c>
      <c r="W262" s="13">
        <f>10^3*0.06894757*(2*V262*2.125)/(22*$C$262)</f>
        <v>166.49271164772725</v>
      </c>
      <c r="X262" s="5">
        <v>10.7</v>
      </c>
      <c r="Y262" s="13">
        <f>10^3*0.06894757*(2*X262*2.125)/(22*$C$262)</f>
        <v>142.51776117045452</v>
      </c>
      <c r="Z262" s="5">
        <v>9.1999999999999993</v>
      </c>
      <c r="AA262" s="14">
        <f>10^3*0.06894757*(2*Z262*2.125)/(22*$C$262)</f>
        <v>122.53863577272726</v>
      </c>
    </row>
    <row r="263" spans="1:27" x14ac:dyDescent="0.25">
      <c r="A263" s="43"/>
      <c r="B263" s="44" t="s">
        <v>1</v>
      </c>
      <c r="C263" s="3">
        <v>1</v>
      </c>
      <c r="D263" s="3">
        <v>22</v>
      </c>
      <c r="E263" s="3">
        <v>5</v>
      </c>
      <c r="F263" s="3">
        <v>22</v>
      </c>
      <c r="G263" s="3">
        <v>0.188</v>
      </c>
      <c r="H263" s="3">
        <v>20</v>
      </c>
      <c r="I263" s="9">
        <f>10^3*0.06894757*(2*H263*0.188)/(22*$C$263)</f>
        <v>23.567533018181816</v>
      </c>
      <c r="J263" s="3">
        <v>20</v>
      </c>
      <c r="K263" s="9">
        <f>10^3*0.06894757*(2*J263*0.188)/(22*$C$263)</f>
        <v>23.567533018181816</v>
      </c>
      <c r="L263" s="3">
        <v>20</v>
      </c>
      <c r="M263" s="9">
        <f>10^3*0.06894757*(2*L263*0.188)/(22*$C$263)</f>
        <v>23.567533018181816</v>
      </c>
      <c r="N263" s="3">
        <v>19.899999999999999</v>
      </c>
      <c r="O263" s="9">
        <f>10^3*0.06894757*(2*N263*0.188)/(22*$C$263)</f>
        <v>23.449695353090906</v>
      </c>
      <c r="P263" s="3">
        <v>19</v>
      </c>
      <c r="Q263" s="9">
        <f>10^3*0.06894757*(2*P263*0.188)/(22*$C$263)</f>
        <v>22.389156367272729</v>
      </c>
      <c r="R263" s="3">
        <v>17.899999999999999</v>
      </c>
      <c r="S263" s="9">
        <f>10^3*0.06894757*(2*R263*0.188)/(22*$C$263)</f>
        <v>21.092942051272725</v>
      </c>
      <c r="T263" s="3">
        <v>17.3</v>
      </c>
      <c r="U263" s="9">
        <f>10^3*0.06894757*(2*T263*0.188)/(22*$C$263)</f>
        <v>20.385916060727272</v>
      </c>
      <c r="V263" s="3">
        <v>16.7</v>
      </c>
      <c r="W263" s="9">
        <f>10^3*0.06894757*(2*V263*0.188)/(22*$C$263)</f>
        <v>19.678890070181815</v>
      </c>
      <c r="X263" s="3">
        <v>13.9</v>
      </c>
      <c r="Y263" s="9">
        <f>10^3*0.06894757*(2*X263*0.188)/(22*$C$263)</f>
        <v>16.379435447636364</v>
      </c>
      <c r="Z263" s="3">
        <v>11.4</v>
      </c>
      <c r="AA263" s="10">
        <f>10^3*0.06894757*(2*Z263*0.188)/(22*$C$263)</f>
        <v>13.433493820363639</v>
      </c>
    </row>
    <row r="264" spans="1:27" x14ac:dyDescent="0.25">
      <c r="A264" s="43"/>
      <c r="B264" s="45"/>
      <c r="C264" s="4">
        <v>1</v>
      </c>
      <c r="D264" s="4">
        <v>22</v>
      </c>
      <c r="E264" s="4">
        <v>10</v>
      </c>
      <c r="F264" s="4">
        <v>22</v>
      </c>
      <c r="G264" s="4">
        <v>0.25</v>
      </c>
      <c r="H264" s="4">
        <v>20</v>
      </c>
      <c r="I264" s="11">
        <f>10^3*0.06894757*(2*H264*0.25)/(22*$C$264)</f>
        <v>31.339804545454545</v>
      </c>
      <c r="J264" s="4">
        <v>20</v>
      </c>
      <c r="K264" s="11">
        <f>10^3*0.06894757*(2*J264*0.25)/(22*$C$264)</f>
        <v>31.339804545454545</v>
      </c>
      <c r="L264" s="4">
        <v>20</v>
      </c>
      <c r="M264" s="11">
        <f>10^3*0.06894757*(2*L264*0.25)/(22*$C$264)</f>
        <v>31.339804545454545</v>
      </c>
      <c r="N264" s="4">
        <v>19.899999999999999</v>
      </c>
      <c r="O264" s="11">
        <f>10^3*0.06894757*(2*N264*0.25)/(22*$C$264)</f>
        <v>31.183105522727271</v>
      </c>
      <c r="P264" s="4">
        <v>19</v>
      </c>
      <c r="Q264" s="11">
        <f>10^3*0.06894757*(2*P264*0.25)/(22*$C$264)</f>
        <v>29.772814318181815</v>
      </c>
      <c r="R264" s="4">
        <v>17.899999999999999</v>
      </c>
      <c r="S264" s="11">
        <f>10^3*0.06894757*(2*R264*0.25)/(22*$C$264)</f>
        <v>28.049125068181812</v>
      </c>
      <c r="T264" s="4">
        <v>17.3</v>
      </c>
      <c r="U264" s="11">
        <f>10^3*0.06894757*(2*T264*0.25)/(22*$C$264)</f>
        <v>27.108930931818183</v>
      </c>
      <c r="V264" s="4">
        <v>16.7</v>
      </c>
      <c r="W264" s="11">
        <f>10^3*0.06894757*(2*V264*0.25)/(22*$C$264)</f>
        <v>26.168736795454546</v>
      </c>
      <c r="X264" s="4">
        <v>13.9</v>
      </c>
      <c r="Y264" s="11">
        <f>10^3*0.06894757*(2*X264*0.25)/(22*$C$264)</f>
        <v>21.78116415909091</v>
      </c>
      <c r="Z264" s="4">
        <v>11.4</v>
      </c>
      <c r="AA264" s="12">
        <f>10^3*0.06894757*(2*Z264*0.25)/(22*$C$264)</f>
        <v>17.863688590909092</v>
      </c>
    </row>
    <row r="265" spans="1:27" x14ac:dyDescent="0.25">
      <c r="A265" s="43"/>
      <c r="B265" s="45"/>
      <c r="C265" s="4">
        <v>1</v>
      </c>
      <c r="D265" s="4">
        <v>22</v>
      </c>
      <c r="E265" s="4">
        <v>30</v>
      </c>
      <c r="F265" s="4">
        <v>22</v>
      </c>
      <c r="G265" s="4">
        <v>0.5</v>
      </c>
      <c r="H265" s="4">
        <v>20</v>
      </c>
      <c r="I265" s="11">
        <f>10^3*0.06894757*(2*H265*0.5)/(22*$C$265)</f>
        <v>62.679609090909089</v>
      </c>
      <c r="J265" s="4">
        <v>20</v>
      </c>
      <c r="K265" s="11">
        <f>10^3*0.06894757*(2*J265*0.5)/(22*$C$265)</f>
        <v>62.679609090909089</v>
      </c>
      <c r="L265" s="4">
        <v>20</v>
      </c>
      <c r="M265" s="11">
        <f>10^3*0.06894757*(2*L265*0.5)/(22*$C$265)</f>
        <v>62.679609090909089</v>
      </c>
      <c r="N265" s="4">
        <v>19.899999999999999</v>
      </c>
      <c r="O265" s="11">
        <f>10^3*0.06894757*(2*N265*0.5)/(22*$C$265)</f>
        <v>62.366211045454541</v>
      </c>
      <c r="P265" s="4">
        <v>19</v>
      </c>
      <c r="Q265" s="11">
        <f>10^3*0.06894757*(2*P265*0.5)/(22*$C$265)</f>
        <v>59.545628636363631</v>
      </c>
      <c r="R265" s="4">
        <v>17.899999999999999</v>
      </c>
      <c r="S265" s="11">
        <f>10^3*0.06894757*(2*R265*0.5)/(22*$C$265)</f>
        <v>56.098250136363625</v>
      </c>
      <c r="T265" s="4">
        <v>17.3</v>
      </c>
      <c r="U265" s="11">
        <f>10^3*0.06894757*(2*T265*0.5)/(22*$C$265)</f>
        <v>54.217861863636365</v>
      </c>
      <c r="V265" s="4">
        <v>16.7</v>
      </c>
      <c r="W265" s="11">
        <f>10^3*0.06894757*(2*V265*0.5)/(22*$C$265)</f>
        <v>52.337473590909092</v>
      </c>
      <c r="X265" s="4">
        <v>13.9</v>
      </c>
      <c r="Y265" s="11">
        <f>10^3*0.06894757*(2*X265*0.5)/(22*$C$265)</f>
        <v>43.562328318181819</v>
      </c>
      <c r="Z265" s="4">
        <v>11.4</v>
      </c>
      <c r="AA265" s="12">
        <f>10^3*0.06894757*(2*Z265*0.5)/(22*$C$265)</f>
        <v>35.727377181818184</v>
      </c>
    </row>
    <row r="266" spans="1:27" x14ac:dyDescent="0.25">
      <c r="A266" s="43"/>
      <c r="B266" s="45"/>
      <c r="C266" s="4">
        <v>1</v>
      </c>
      <c r="D266" s="4">
        <v>22</v>
      </c>
      <c r="E266" s="4">
        <v>40</v>
      </c>
      <c r="F266" s="4">
        <v>22</v>
      </c>
      <c r="G266" s="4"/>
      <c r="H266" s="4">
        <v>20</v>
      </c>
      <c r="I266" s="11"/>
      <c r="J266" s="4">
        <v>20</v>
      </c>
      <c r="K266" s="11"/>
      <c r="L266" s="4">
        <v>20</v>
      </c>
      <c r="M266" s="11"/>
      <c r="N266" s="4">
        <v>19.899999999999999</v>
      </c>
      <c r="O266" s="11"/>
      <c r="P266" s="4">
        <v>19</v>
      </c>
      <c r="Q266" s="11"/>
      <c r="R266" s="4">
        <v>17.899999999999999</v>
      </c>
      <c r="S266" s="11"/>
      <c r="T266" s="4">
        <v>17.3</v>
      </c>
      <c r="U266" s="11"/>
      <c r="V266" s="4">
        <v>16.7</v>
      </c>
      <c r="W266" s="11"/>
      <c r="X266" s="4">
        <v>13.9</v>
      </c>
      <c r="Y266" s="11"/>
      <c r="Z266" s="4">
        <v>11.4</v>
      </c>
      <c r="AA266" s="12"/>
    </row>
    <row r="267" spans="1:27" x14ac:dyDescent="0.25">
      <c r="A267" s="43"/>
      <c r="B267" s="45"/>
      <c r="C267" s="4">
        <v>1</v>
      </c>
      <c r="D267" s="4">
        <v>22</v>
      </c>
      <c r="E267" s="4">
        <v>80</v>
      </c>
      <c r="F267" s="4">
        <v>22</v>
      </c>
      <c r="G267" s="4">
        <v>1.125</v>
      </c>
      <c r="H267" s="4">
        <v>20</v>
      </c>
      <c r="I267" s="11">
        <f>10^3*0.06894757*(2*H267*1.125)/(22*$C$267)</f>
        <v>141.02912045454545</v>
      </c>
      <c r="J267" s="4">
        <v>20</v>
      </c>
      <c r="K267" s="11">
        <f>10^3*0.06894757*(2*J267*1.125)/(22*$C$267)</f>
        <v>141.02912045454545</v>
      </c>
      <c r="L267" s="4">
        <v>20</v>
      </c>
      <c r="M267" s="11">
        <f>10^3*0.06894757*(2*L267*1.125)/(22*$C$267)</f>
        <v>141.02912045454545</v>
      </c>
      <c r="N267" s="4">
        <v>19.899999999999999</v>
      </c>
      <c r="O267" s="11">
        <f>10^3*0.06894757*(2*N267*1.125)/(22*$C$267)</f>
        <v>140.32397485227273</v>
      </c>
      <c r="P267" s="4">
        <v>19</v>
      </c>
      <c r="Q267" s="11">
        <f>10^3*0.06894757*(2*P267*1.125)/(22*$C$267)</f>
        <v>133.9776644318182</v>
      </c>
      <c r="R267" s="4">
        <v>17.899999999999999</v>
      </c>
      <c r="S267" s="11">
        <f>10^3*0.06894757*(2*R267*1.125)/(22*$C$267)</f>
        <v>126.22106280681818</v>
      </c>
      <c r="T267" s="4">
        <v>17.3</v>
      </c>
      <c r="U267" s="11">
        <f>10^3*0.06894757*(2*T267*1.125)/(22*$C$267)</f>
        <v>121.99018919318183</v>
      </c>
      <c r="V267" s="4">
        <v>16.7</v>
      </c>
      <c r="W267" s="11">
        <f>10^3*0.06894757*(2*V267*1.125)/(22*$C$267)</f>
        <v>117.75931557954544</v>
      </c>
      <c r="X267" s="4">
        <v>13.9</v>
      </c>
      <c r="Y267" s="11">
        <f>10^3*0.06894757*(2*X267*1.125)/(22*$C$267)</f>
        <v>98.015238715909106</v>
      </c>
      <c r="Z267" s="4">
        <v>11.4</v>
      </c>
      <c r="AA267" s="12">
        <f>10^3*0.06894757*(2*Z267*1.125)/(22*$C$267)</f>
        <v>80.386598659090907</v>
      </c>
    </row>
    <row r="268" spans="1:27" ht="16.5" thickBot="1" x14ac:dyDescent="0.3">
      <c r="A268" s="43"/>
      <c r="B268" s="46"/>
      <c r="C268" s="5">
        <v>1</v>
      </c>
      <c r="D268" s="5">
        <v>22</v>
      </c>
      <c r="E268" s="5">
        <v>160</v>
      </c>
      <c r="F268" s="5">
        <v>22</v>
      </c>
      <c r="G268" s="5">
        <v>2.125</v>
      </c>
      <c r="H268" s="5">
        <v>20</v>
      </c>
      <c r="I268" s="13">
        <f>10^3*0.06894757*(2*H268*2.125)/(22*$C$268)</f>
        <v>266.38833863636364</v>
      </c>
      <c r="J268" s="5">
        <v>20</v>
      </c>
      <c r="K268" s="13">
        <f>10^3*0.06894757*(2*J268*2.125)/(22*$C$268)</f>
        <v>266.38833863636364</v>
      </c>
      <c r="L268" s="5">
        <v>20</v>
      </c>
      <c r="M268" s="13">
        <f>10^3*0.06894757*(2*L268*2.125)/(22*$C$268)</f>
        <v>266.38833863636364</v>
      </c>
      <c r="N268" s="5">
        <v>19.899999999999999</v>
      </c>
      <c r="O268" s="13">
        <f>10^3*0.06894757*(2*N268*2.125)/(22*$C$268)</f>
        <v>265.05639694318182</v>
      </c>
      <c r="P268" s="5">
        <v>19</v>
      </c>
      <c r="Q268" s="13">
        <f>10^3*0.06894757*(2*P268*2.125)/(22*$C$268)</f>
        <v>253.06892170454546</v>
      </c>
      <c r="R268" s="5">
        <v>17.899999999999999</v>
      </c>
      <c r="S268" s="13">
        <f>10^3*0.06894757*(2*R268*2.125)/(22*$C$268)</f>
        <v>238.4175630795454</v>
      </c>
      <c r="T268" s="5">
        <v>17.3</v>
      </c>
      <c r="U268" s="13">
        <f>10^3*0.06894757*(2*T268*2.125)/(22*$C$268)</f>
        <v>230.42591292045455</v>
      </c>
      <c r="V268" s="5">
        <v>16.7</v>
      </c>
      <c r="W268" s="13">
        <f>10^3*0.06894757*(2*V268*2.125)/(22*$C$268)</f>
        <v>222.43426276136361</v>
      </c>
      <c r="X268" s="5">
        <v>13.9</v>
      </c>
      <c r="Y268" s="13">
        <f>10^3*0.06894757*(2*X268*2.125)/(22*$C$268)</f>
        <v>185.13989535227273</v>
      </c>
      <c r="Z268" s="5">
        <v>11.4</v>
      </c>
      <c r="AA268" s="14">
        <f>10^3*0.06894757*(2*Z268*2.125)/(22*$C$268)</f>
        <v>151.84135302272728</v>
      </c>
    </row>
    <row r="269" spans="1:27" x14ac:dyDescent="0.25">
      <c r="A269" s="43"/>
      <c r="B269" s="44" t="s">
        <v>6</v>
      </c>
      <c r="C269" s="3">
        <v>1</v>
      </c>
      <c r="D269" s="3">
        <v>22</v>
      </c>
      <c r="E269" s="3">
        <v>5</v>
      </c>
      <c r="F269" s="3">
        <v>22</v>
      </c>
      <c r="G269" s="3">
        <v>0.188</v>
      </c>
      <c r="H269" s="6">
        <v>23.3</v>
      </c>
      <c r="I269" s="9">
        <f>10^3*0.06894757*(2*H269*0.188)/(22*$C$269)</f>
        <v>27.456175966181817</v>
      </c>
      <c r="J269" s="6">
        <v>23.3</v>
      </c>
      <c r="K269" s="9">
        <f>10^3*0.06894757*(2*J269*0.188)/(22*$C$269)</f>
        <v>27.456175966181817</v>
      </c>
      <c r="L269" s="6">
        <v>23.3</v>
      </c>
      <c r="M269" s="9">
        <f>10^3*0.06894757*(2*L269*0.188)/(22*$C$269)</f>
        <v>27.456175966181817</v>
      </c>
      <c r="N269" s="6">
        <v>22.8</v>
      </c>
      <c r="O269" s="9">
        <f>10^3*0.06894757*(2*N269*0.188)/(22*$C$269)</f>
        <v>26.866987640727277</v>
      </c>
      <c r="P269" s="6">
        <v>21.7</v>
      </c>
      <c r="Q269" s="9">
        <f>10^3*0.06894757*(2*P269*0.188)/(22*$C$269)</f>
        <v>25.570773324727273</v>
      </c>
      <c r="R269" s="6">
        <v>20.399999999999999</v>
      </c>
      <c r="S269" s="9">
        <f>10^3*0.06894757*(2*R269*0.188)/(22*$C$269)</f>
        <v>24.038883678545456</v>
      </c>
      <c r="T269" s="6">
        <v>19.8</v>
      </c>
      <c r="U269" s="9">
        <f>10^3*0.06894757*(2*T269*0.188)/(22*$C$269)</f>
        <v>23.331857687999999</v>
      </c>
      <c r="V269" s="6">
        <v>18.3</v>
      </c>
      <c r="W269" s="9">
        <f>10^3*0.06894757*(2*V269*0.188)/(22*$C$269)</f>
        <v>21.564292711636366</v>
      </c>
      <c r="X269" s="6">
        <v>14.8</v>
      </c>
      <c r="Y269" s="9">
        <f>10^3*0.06894757*(2*X269*0.188)/(22*$C$269)</f>
        <v>17.439974433454545</v>
      </c>
      <c r="Z269" s="6">
        <v>12</v>
      </c>
      <c r="AA269" s="10">
        <f>10^3*0.06894757*(2*Z269*0.188)/(22*$C$269)</f>
        <v>14.140519810909092</v>
      </c>
    </row>
    <row r="270" spans="1:27" x14ac:dyDescent="0.25">
      <c r="A270" s="43"/>
      <c r="B270" s="45"/>
      <c r="C270" s="4">
        <v>1</v>
      </c>
      <c r="D270" s="4">
        <v>22</v>
      </c>
      <c r="E270" s="4">
        <v>10</v>
      </c>
      <c r="F270" s="4">
        <v>22</v>
      </c>
      <c r="G270" s="4">
        <v>0.25</v>
      </c>
      <c r="H270" s="7">
        <v>23.3</v>
      </c>
      <c r="I270" s="11">
        <f>10^3*0.06894757*(2*H270*0.25)/(22*$C$270)</f>
        <v>36.510872295454547</v>
      </c>
      <c r="J270" s="7">
        <v>23.3</v>
      </c>
      <c r="K270" s="11">
        <f>10^3*0.06894757*(2*J270*0.25)/(22*$C$270)</f>
        <v>36.510872295454547</v>
      </c>
      <c r="L270" s="7">
        <v>23.3</v>
      </c>
      <c r="M270" s="11">
        <f>10^3*0.06894757*(2*L270*0.25)/(22*$C$270)</f>
        <v>36.510872295454547</v>
      </c>
      <c r="N270" s="7">
        <v>22.8</v>
      </c>
      <c r="O270" s="11">
        <f>10^3*0.06894757*(2*N270*0.25)/(22*$C$270)</f>
        <v>35.727377181818184</v>
      </c>
      <c r="P270" s="7">
        <v>21.7</v>
      </c>
      <c r="Q270" s="11">
        <f>10^3*0.06894757*(2*P270*0.25)/(22*$C$270)</f>
        <v>34.003687931818178</v>
      </c>
      <c r="R270" s="7">
        <v>20.399999999999999</v>
      </c>
      <c r="S270" s="11">
        <f>10^3*0.06894757*(2*R270*0.25)/(22*$C$270)</f>
        <v>31.966600636363633</v>
      </c>
      <c r="T270" s="7">
        <v>19.8</v>
      </c>
      <c r="U270" s="11">
        <f>10^3*0.06894757*(2*T270*0.25)/(22*$C$270)</f>
        <v>31.026406500000004</v>
      </c>
      <c r="V270" s="7">
        <v>18.3</v>
      </c>
      <c r="W270" s="11">
        <f>10^3*0.06894757*(2*V270*0.25)/(22*$C$270)</f>
        <v>28.675921159090908</v>
      </c>
      <c r="X270" s="7">
        <v>14.8</v>
      </c>
      <c r="Y270" s="11">
        <f>10^3*0.06894757*(2*X270*0.25)/(22*$C$270)</f>
        <v>23.191455363636365</v>
      </c>
      <c r="Z270" s="7">
        <v>12</v>
      </c>
      <c r="AA270" s="12">
        <f>10^3*0.06894757*(2*Z270*0.25)/(22*$C$270)</f>
        <v>18.803882727272729</v>
      </c>
    </row>
    <row r="271" spans="1:27" x14ac:dyDescent="0.25">
      <c r="A271" s="43"/>
      <c r="B271" s="45"/>
      <c r="C271" s="4">
        <v>1</v>
      </c>
      <c r="D271" s="4">
        <v>22</v>
      </c>
      <c r="E271" s="4">
        <v>30</v>
      </c>
      <c r="F271" s="4">
        <v>22</v>
      </c>
      <c r="G271" s="4">
        <v>0.5</v>
      </c>
      <c r="H271" s="7">
        <v>23.3</v>
      </c>
      <c r="I271" s="11">
        <f>10^3*0.06894757*(2*H271*0.5)/(22*$C$271)</f>
        <v>73.021744590909094</v>
      </c>
      <c r="J271" s="7">
        <v>23.3</v>
      </c>
      <c r="K271" s="11">
        <f>10^3*0.06894757*(2*J271*0.5)/(22*$C$271)</f>
        <v>73.021744590909094</v>
      </c>
      <c r="L271" s="7">
        <v>23.3</v>
      </c>
      <c r="M271" s="11">
        <f>10^3*0.06894757*(2*L271*0.5)/(22*$C$271)</f>
        <v>73.021744590909094</v>
      </c>
      <c r="N271" s="7">
        <v>22.8</v>
      </c>
      <c r="O271" s="11">
        <f>10^3*0.06894757*(2*N271*0.5)/(22*$C$271)</f>
        <v>71.454754363636368</v>
      </c>
      <c r="P271" s="7">
        <v>21.7</v>
      </c>
      <c r="Q271" s="11">
        <f>10^3*0.06894757*(2*P271*0.5)/(22*$C$271)</f>
        <v>68.007375863636355</v>
      </c>
      <c r="R271" s="7">
        <v>20.399999999999999</v>
      </c>
      <c r="S271" s="11">
        <f>10^3*0.06894757*(2*R271*0.5)/(22*$C$271)</f>
        <v>63.933201272727267</v>
      </c>
      <c r="T271" s="7">
        <v>19.8</v>
      </c>
      <c r="U271" s="11">
        <f>10^3*0.06894757*(2*T271*0.5)/(22*$C$271)</f>
        <v>62.052813000000008</v>
      </c>
      <c r="V271" s="7">
        <v>18.3</v>
      </c>
      <c r="W271" s="11">
        <f>10^3*0.06894757*(2*V271*0.5)/(22*$C$271)</f>
        <v>57.351842318181816</v>
      </c>
      <c r="X271" s="7">
        <v>14.8</v>
      </c>
      <c r="Y271" s="11">
        <f>10^3*0.06894757*(2*X271*0.5)/(22*$C$271)</f>
        <v>46.38291072727273</v>
      </c>
      <c r="Z271" s="7">
        <v>12</v>
      </c>
      <c r="AA271" s="12">
        <f>10^3*0.06894757*(2*Z271*0.5)/(22*$C$271)</f>
        <v>37.607765454545458</v>
      </c>
    </row>
    <row r="272" spans="1:27" x14ac:dyDescent="0.25">
      <c r="A272" s="43"/>
      <c r="B272" s="45"/>
      <c r="C272" s="4">
        <v>1</v>
      </c>
      <c r="D272" s="4">
        <v>22</v>
      </c>
      <c r="E272" s="4">
        <v>40</v>
      </c>
      <c r="F272" s="4">
        <v>22</v>
      </c>
      <c r="G272" s="4"/>
      <c r="H272" s="7">
        <v>23.3</v>
      </c>
      <c r="I272" s="11"/>
      <c r="J272" s="7">
        <v>23.3</v>
      </c>
      <c r="K272" s="11"/>
      <c r="L272" s="7">
        <v>23.3</v>
      </c>
      <c r="M272" s="11"/>
      <c r="N272" s="7">
        <v>22.8</v>
      </c>
      <c r="O272" s="11"/>
      <c r="P272" s="7">
        <v>21.7</v>
      </c>
      <c r="Q272" s="11"/>
      <c r="R272" s="7">
        <v>20.399999999999999</v>
      </c>
      <c r="S272" s="11"/>
      <c r="T272" s="7">
        <v>19.8</v>
      </c>
      <c r="U272" s="11"/>
      <c r="V272" s="7">
        <v>18.3</v>
      </c>
      <c r="W272" s="11"/>
      <c r="X272" s="7">
        <v>14.8</v>
      </c>
      <c r="Y272" s="11"/>
      <c r="Z272" s="7">
        <v>12</v>
      </c>
      <c r="AA272" s="12"/>
    </row>
    <row r="273" spans="1:27" x14ac:dyDescent="0.25">
      <c r="A273" s="43"/>
      <c r="B273" s="45"/>
      <c r="C273" s="4">
        <v>1</v>
      </c>
      <c r="D273" s="4">
        <v>22</v>
      </c>
      <c r="E273" s="4">
        <v>80</v>
      </c>
      <c r="F273" s="4">
        <v>22</v>
      </c>
      <c r="G273" s="4">
        <v>1.125</v>
      </c>
      <c r="H273" s="7">
        <v>23.3</v>
      </c>
      <c r="I273" s="11">
        <f>10^3*0.06894757*(2*H273*1.125)/(22*$C$273)</f>
        <v>164.29892532954548</v>
      </c>
      <c r="J273" s="7">
        <v>23.3</v>
      </c>
      <c r="K273" s="11">
        <f>10^3*0.06894757*(2*J273*1.125)/(22*$C$273)</f>
        <v>164.29892532954548</v>
      </c>
      <c r="L273" s="7">
        <v>23.3</v>
      </c>
      <c r="M273" s="11">
        <f>10^3*0.06894757*(2*L273*1.125)/(22*$C$273)</f>
        <v>164.29892532954548</v>
      </c>
      <c r="N273" s="7">
        <v>22.8</v>
      </c>
      <c r="O273" s="11">
        <f>10^3*0.06894757*(2*N273*1.125)/(22*$C$273)</f>
        <v>160.77319731818181</v>
      </c>
      <c r="P273" s="7">
        <v>21.7</v>
      </c>
      <c r="Q273" s="11">
        <f>10^3*0.06894757*(2*P273*1.125)/(22*$C$273)</f>
        <v>153.01659569318178</v>
      </c>
      <c r="R273" s="7">
        <v>20.399999999999999</v>
      </c>
      <c r="S273" s="11">
        <f>10^3*0.06894757*(2*R273*1.125)/(22*$C$273)</f>
        <v>143.84970286363637</v>
      </c>
      <c r="T273" s="7">
        <v>19.8</v>
      </c>
      <c r="U273" s="11">
        <f>10^3*0.06894757*(2*T273*1.125)/(22*$C$273)</f>
        <v>139.61882925</v>
      </c>
      <c r="V273" s="7">
        <v>18.3</v>
      </c>
      <c r="W273" s="11">
        <f>10^3*0.06894757*(2*V273*1.125)/(22*$C$273)</f>
        <v>129.04164521590909</v>
      </c>
      <c r="X273" s="7">
        <v>14.8</v>
      </c>
      <c r="Y273" s="11">
        <f>10^3*0.06894757*(2*X273*1.125)/(22*$C$273)</f>
        <v>104.36154913636365</v>
      </c>
      <c r="Z273" s="7">
        <v>12</v>
      </c>
      <c r="AA273" s="12">
        <f>10^3*0.06894757*(2*Z273*1.125)/(22*$C$273)</f>
        <v>84.617472272727269</v>
      </c>
    </row>
    <row r="274" spans="1:27" ht="16.5" thickBot="1" x14ac:dyDescent="0.3">
      <c r="A274" s="43"/>
      <c r="B274" s="46"/>
      <c r="C274" s="5">
        <v>1</v>
      </c>
      <c r="D274" s="5">
        <v>22</v>
      </c>
      <c r="E274" s="5">
        <v>160</v>
      </c>
      <c r="F274" s="5">
        <v>22</v>
      </c>
      <c r="G274" s="5">
        <v>2.125</v>
      </c>
      <c r="H274" s="8">
        <v>23.3</v>
      </c>
      <c r="I274" s="13">
        <f>10^3*0.06894757*(2*H274*2.125)/(22*$C$274)</f>
        <v>310.34241451136364</v>
      </c>
      <c r="J274" s="8">
        <v>23.3</v>
      </c>
      <c r="K274" s="13">
        <f>10^3*0.06894757*(2*J274*2.125)/(22*$C$274)</f>
        <v>310.34241451136364</v>
      </c>
      <c r="L274" s="8">
        <v>23.3</v>
      </c>
      <c r="M274" s="13">
        <f>10^3*0.06894757*(2*L274*2.125)/(22*$C$274)</f>
        <v>310.34241451136364</v>
      </c>
      <c r="N274" s="8">
        <v>22.8</v>
      </c>
      <c r="O274" s="13">
        <f>10^3*0.06894757*(2*N274*2.125)/(22*$C$274)</f>
        <v>303.68270604545455</v>
      </c>
      <c r="P274" s="8">
        <v>21.7</v>
      </c>
      <c r="Q274" s="13">
        <f>10^3*0.06894757*(2*P274*2.125)/(22*$C$274)</f>
        <v>289.03134742045455</v>
      </c>
      <c r="R274" s="8">
        <v>20.399999999999999</v>
      </c>
      <c r="S274" s="13">
        <f>10^3*0.06894757*(2*R274*2.125)/(22*$C$274)</f>
        <v>271.71610540909086</v>
      </c>
      <c r="T274" s="8">
        <v>19.8</v>
      </c>
      <c r="U274" s="13">
        <f>10^3*0.06894757*(2*T274*2.125)/(22*$C$274)</f>
        <v>263.72445525000001</v>
      </c>
      <c r="V274" s="8">
        <v>18.3</v>
      </c>
      <c r="W274" s="13">
        <f>10^3*0.06894757*(2*V274*2.125)/(22*$C$274)</f>
        <v>243.74532985227276</v>
      </c>
      <c r="X274" s="8">
        <v>14.8</v>
      </c>
      <c r="Y274" s="13">
        <f>10^3*0.06894757*(2*X274*2.125)/(22*$C$274)</f>
        <v>197.12737059090912</v>
      </c>
      <c r="Z274" s="8">
        <v>12</v>
      </c>
      <c r="AA274" s="14">
        <f>10^3*0.06894757*(2*Z274*2.125)/(22*$C$274)</f>
        <v>159.83300318181819</v>
      </c>
    </row>
    <row r="275" spans="1:27" x14ac:dyDescent="0.25">
      <c r="A275" s="43" t="s">
        <v>5</v>
      </c>
      <c r="B275" s="44" t="s">
        <v>2</v>
      </c>
      <c r="C275" s="3">
        <v>1</v>
      </c>
      <c r="D275" s="3">
        <v>24</v>
      </c>
      <c r="E275" s="3">
        <v>5</v>
      </c>
      <c r="F275" s="3">
        <v>24</v>
      </c>
      <c r="G275" s="3">
        <v>0.218</v>
      </c>
      <c r="H275" s="3">
        <v>16</v>
      </c>
      <c r="I275" s="9">
        <f>10^3*0.06894757*(2*H275*0.218)/(24*$C$275)</f>
        <v>20.040760346666666</v>
      </c>
      <c r="J275" s="3">
        <v>16</v>
      </c>
      <c r="K275" s="9">
        <f>10^3*0.06894757*(2*J275*0.218)/(24*$C$275)</f>
        <v>20.040760346666666</v>
      </c>
      <c r="L275" s="3">
        <v>16</v>
      </c>
      <c r="M275" s="9">
        <f>10^3*0.06894757*(2*L275*0.218)/(24*$C$275)</f>
        <v>20.040760346666666</v>
      </c>
      <c r="N275" s="3">
        <v>16</v>
      </c>
      <c r="O275" s="9">
        <f>10^3*0.06894757*(2*N275*0.218)/(24*$C$275)</f>
        <v>20.040760346666666</v>
      </c>
      <c r="P275" s="3">
        <v>16</v>
      </c>
      <c r="Q275" s="9">
        <f>10^3*0.06894757*(2*P275*0.218)/(24*$C$275)</f>
        <v>20.040760346666666</v>
      </c>
      <c r="R275" s="3">
        <v>15.3</v>
      </c>
      <c r="S275" s="9">
        <f>10^3*0.06894757*(2*R275*0.218)/(24*$C$275)</f>
        <v>19.163977081500004</v>
      </c>
      <c r="T275" s="3">
        <v>14.6</v>
      </c>
      <c r="U275" s="9">
        <f>10^3*0.06894757*(2*T275*0.218)/(24*$C$275)</f>
        <v>18.287193816333332</v>
      </c>
      <c r="V275" s="3">
        <v>12.5</v>
      </c>
      <c r="W275" s="9">
        <f>10^3*0.06894757*(2*V275*0.218)/(24*$C$275)</f>
        <v>15.656844020833333</v>
      </c>
      <c r="X275" s="3">
        <v>10.7</v>
      </c>
      <c r="Y275" s="9">
        <f>10^3*0.06894757*(2*X275*0.218)/(24*$C$275)</f>
        <v>13.40225848183333</v>
      </c>
      <c r="Z275" s="3">
        <v>9.1999999999999993</v>
      </c>
      <c r="AA275" s="10">
        <f>10^3*0.06894757*(2*Z275*0.218)/(24*$C$275)</f>
        <v>11.523437199333332</v>
      </c>
    </row>
    <row r="276" spans="1:27" x14ac:dyDescent="0.25">
      <c r="A276" s="43"/>
      <c r="B276" s="45"/>
      <c r="C276" s="4">
        <v>1</v>
      </c>
      <c r="D276" s="4">
        <v>24</v>
      </c>
      <c r="E276" s="4">
        <v>10</v>
      </c>
      <c r="F276" s="4">
        <v>24</v>
      </c>
      <c r="G276" s="4">
        <v>0.25</v>
      </c>
      <c r="H276" s="4">
        <v>16</v>
      </c>
      <c r="I276" s="11">
        <f>10^3*0.06894757*(2*H276*0.25)/(24*$C$276)</f>
        <v>22.982523333333333</v>
      </c>
      <c r="J276" s="4">
        <v>16</v>
      </c>
      <c r="K276" s="11">
        <f>10^3*0.06894757*(2*J276*0.25)/(24*$C$276)</f>
        <v>22.982523333333333</v>
      </c>
      <c r="L276" s="4">
        <v>16</v>
      </c>
      <c r="M276" s="11">
        <f>10^3*0.06894757*(2*L276*0.25)/(24*$C$276)</f>
        <v>22.982523333333333</v>
      </c>
      <c r="N276" s="4">
        <v>16</v>
      </c>
      <c r="O276" s="11">
        <f>10^3*0.06894757*(2*N276*0.25)/(24*$C$276)</f>
        <v>22.982523333333333</v>
      </c>
      <c r="P276" s="4">
        <v>16</v>
      </c>
      <c r="Q276" s="11">
        <f>10^3*0.06894757*(2*P276*0.25)/(24*$C$276)</f>
        <v>22.982523333333333</v>
      </c>
      <c r="R276" s="4">
        <v>15.3</v>
      </c>
      <c r="S276" s="11">
        <f>10^3*0.06894757*(2*R276*0.25)/(24*$C$276)</f>
        <v>21.9770379375</v>
      </c>
      <c r="T276" s="4">
        <v>14.6</v>
      </c>
      <c r="U276" s="11">
        <f>10^3*0.06894757*(2*T276*0.25)/(24*$C$276)</f>
        <v>20.971552541666664</v>
      </c>
      <c r="V276" s="4">
        <v>12.5</v>
      </c>
      <c r="W276" s="11">
        <f>10^3*0.06894757*(2*V276*0.25)/(24*$C$276)</f>
        <v>17.955096354166667</v>
      </c>
      <c r="X276" s="4">
        <v>10.7</v>
      </c>
      <c r="Y276" s="11">
        <f>10^3*0.06894757*(2*X276*0.25)/(24*$C$276)</f>
        <v>15.369562479166666</v>
      </c>
      <c r="Z276" s="4">
        <v>9.1999999999999993</v>
      </c>
      <c r="AA276" s="12">
        <f>10^3*0.06894757*(2*Z276*0.25)/(24*$C$276)</f>
        <v>13.214950916666666</v>
      </c>
    </row>
    <row r="277" spans="1:27" x14ac:dyDescent="0.25">
      <c r="A277" s="43"/>
      <c r="B277" s="45"/>
      <c r="C277" s="4">
        <v>1</v>
      </c>
      <c r="D277" s="4">
        <v>24</v>
      </c>
      <c r="E277" s="4">
        <v>30</v>
      </c>
      <c r="F277" s="4">
        <v>24</v>
      </c>
      <c r="G277" s="4">
        <v>0.56200000000000006</v>
      </c>
      <c r="H277" s="4">
        <v>16</v>
      </c>
      <c r="I277" s="11">
        <f>10^3*0.06894757*(2*H277*0.562)/(24*$C$277)</f>
        <v>51.664712453333344</v>
      </c>
      <c r="J277" s="4">
        <v>16</v>
      </c>
      <c r="K277" s="11">
        <f>10^3*0.06894757*(2*J277*0.562)/(24*$C$277)</f>
        <v>51.664712453333344</v>
      </c>
      <c r="L277" s="4">
        <v>16</v>
      </c>
      <c r="M277" s="11">
        <f>10^3*0.06894757*(2*L277*0.562)/(24*$C$277)</f>
        <v>51.664712453333344</v>
      </c>
      <c r="N277" s="4">
        <v>16</v>
      </c>
      <c r="O277" s="11">
        <f>10^3*0.06894757*(2*N277*0.562)/(24*$C$277)</f>
        <v>51.664712453333344</v>
      </c>
      <c r="P277" s="4">
        <v>16</v>
      </c>
      <c r="Q277" s="11">
        <f>10^3*0.06894757*(2*P277*0.562)/(24*$C$277)</f>
        <v>51.664712453333344</v>
      </c>
      <c r="R277" s="4">
        <v>15.3</v>
      </c>
      <c r="S277" s="11">
        <f>10^3*0.06894757*(2*R277*0.562)/(24*$C$277)</f>
        <v>49.404381283500008</v>
      </c>
      <c r="T277" s="4">
        <v>14.6</v>
      </c>
      <c r="U277" s="11">
        <f>10^3*0.06894757*(2*T277*0.562)/(24*$C$277)</f>
        <v>47.144050113666673</v>
      </c>
      <c r="V277" s="4">
        <v>12.5</v>
      </c>
      <c r="W277" s="11">
        <f>10^3*0.06894757*(2*V277*0.562)/(24*$C$277)</f>
        <v>40.363056604166665</v>
      </c>
      <c r="X277" s="4">
        <v>10.7</v>
      </c>
      <c r="Y277" s="11">
        <f>10^3*0.06894757*(2*X277*0.562)/(24*$C$277)</f>
        <v>34.550776453166669</v>
      </c>
      <c r="Z277" s="4">
        <v>9.1999999999999993</v>
      </c>
      <c r="AA277" s="12">
        <f>10^3*0.06894757*(2*Z277*0.562)/(24*$C$277)</f>
        <v>29.707209660666663</v>
      </c>
    </row>
    <row r="278" spans="1:27" x14ac:dyDescent="0.25">
      <c r="A278" s="43"/>
      <c r="B278" s="45"/>
      <c r="C278" s="4">
        <v>1</v>
      </c>
      <c r="D278" s="4">
        <v>24</v>
      </c>
      <c r="E278" s="4">
        <v>40</v>
      </c>
      <c r="F278" s="4">
        <v>24</v>
      </c>
      <c r="G278" s="4">
        <v>0.68799999999999994</v>
      </c>
      <c r="H278" s="4">
        <v>16</v>
      </c>
      <c r="I278" s="11">
        <f>10^3*0.06894757*(2*H278*0.688)/(24*$C$278)</f>
        <v>63.247904213333328</v>
      </c>
      <c r="J278" s="4">
        <v>16</v>
      </c>
      <c r="K278" s="11">
        <f>10^3*0.06894757*(2*J278*0.688)/(24*$C$278)</f>
        <v>63.247904213333328</v>
      </c>
      <c r="L278" s="4">
        <v>16</v>
      </c>
      <c r="M278" s="11">
        <f>10^3*0.06894757*(2*L278*0.688)/(24*$C$278)</f>
        <v>63.247904213333328</v>
      </c>
      <c r="N278" s="4">
        <v>16</v>
      </c>
      <c r="O278" s="11">
        <f>10^3*0.06894757*(2*N278*0.688)/(24*$C$278)</f>
        <v>63.247904213333328</v>
      </c>
      <c r="P278" s="4">
        <v>16</v>
      </c>
      <c r="Q278" s="11">
        <f>10^3*0.06894757*(2*P278*0.688)/(24*$C$278)</f>
        <v>63.247904213333328</v>
      </c>
      <c r="R278" s="4">
        <v>15.3</v>
      </c>
      <c r="S278" s="11">
        <f>10^3*0.06894757*(2*R278*0.688)/(24*$C$278)</f>
        <v>60.480808403999994</v>
      </c>
      <c r="T278" s="4">
        <v>14.6</v>
      </c>
      <c r="U278" s="11">
        <f>10^3*0.06894757*(2*T278*0.688)/(24*$C$278)</f>
        <v>57.713712594666653</v>
      </c>
      <c r="V278" s="4">
        <v>12.5</v>
      </c>
      <c r="W278" s="11">
        <f>10^3*0.06894757*(2*V278*0.688)/(24*$C$278)</f>
        <v>49.412425166666658</v>
      </c>
      <c r="X278" s="4">
        <v>10.7</v>
      </c>
      <c r="Y278" s="11">
        <f>10^3*0.06894757*(2*X278*0.688)/(24*$C$278)</f>
        <v>42.29703594266666</v>
      </c>
      <c r="Z278" s="4">
        <v>9.1999999999999993</v>
      </c>
      <c r="AA278" s="12">
        <f>10^3*0.06894757*(2*Z278*0.688)/(24*$C$278)</f>
        <v>36.36754492266666</v>
      </c>
    </row>
    <row r="279" spans="1:27" x14ac:dyDescent="0.25">
      <c r="A279" s="43"/>
      <c r="B279" s="45"/>
      <c r="C279" s="4">
        <v>1</v>
      </c>
      <c r="D279" s="4">
        <v>24</v>
      </c>
      <c r="E279" s="4">
        <v>80</v>
      </c>
      <c r="F279" s="4">
        <v>24</v>
      </c>
      <c r="G279" s="4">
        <v>1.2190000000000001</v>
      </c>
      <c r="H279" s="4">
        <v>16</v>
      </c>
      <c r="I279" s="11">
        <f>10^3*0.06894757*(2*H279*1.219)/(24*$C$279)</f>
        <v>112.06278377333335</v>
      </c>
      <c r="J279" s="4">
        <v>16</v>
      </c>
      <c r="K279" s="11">
        <f>10^3*0.06894757*(2*J279*1.219)/(24*$C$279)</f>
        <v>112.06278377333335</v>
      </c>
      <c r="L279" s="4">
        <v>16</v>
      </c>
      <c r="M279" s="11">
        <f>10^3*0.06894757*(2*L279*1.219)/(24*$C$279)</f>
        <v>112.06278377333335</v>
      </c>
      <c r="N279" s="4">
        <v>16</v>
      </c>
      <c r="O279" s="11">
        <f>10^3*0.06894757*(2*N279*1.219)/(24*$C$279)</f>
        <v>112.06278377333335</v>
      </c>
      <c r="P279" s="4">
        <v>16</v>
      </c>
      <c r="Q279" s="11">
        <f>10^3*0.06894757*(2*P279*1.219)/(24*$C$279)</f>
        <v>112.06278377333335</v>
      </c>
      <c r="R279" s="4">
        <v>15.3</v>
      </c>
      <c r="S279" s="11">
        <f>10^3*0.06894757*(2*R279*1.219)/(24*$C$279)</f>
        <v>107.16003698325</v>
      </c>
      <c r="T279" s="4">
        <v>14.6</v>
      </c>
      <c r="U279" s="11">
        <f>10^3*0.06894757*(2*T279*1.219)/(24*$C$279)</f>
        <v>102.25729019316667</v>
      </c>
      <c r="V279" s="4">
        <v>12.5</v>
      </c>
      <c r="W279" s="11">
        <f>10^3*0.06894757*(2*V279*1.219)/(24*$C$279)</f>
        <v>87.549049822916672</v>
      </c>
      <c r="X279" s="4">
        <v>10.7</v>
      </c>
      <c r="Y279" s="11">
        <f>10^3*0.06894757*(2*X279*1.219)/(24*$C$279)</f>
        <v>74.941986648416659</v>
      </c>
      <c r="Z279" s="4">
        <v>9.1999999999999993</v>
      </c>
      <c r="AA279" s="12">
        <f>10^3*0.06894757*(2*Z279*1.219)/(24*$C$279)</f>
        <v>64.436100669666672</v>
      </c>
    </row>
    <row r="280" spans="1:27" ht="16.5" thickBot="1" x14ac:dyDescent="0.3">
      <c r="A280" s="43"/>
      <c r="B280" s="46"/>
      <c r="C280" s="5">
        <v>1</v>
      </c>
      <c r="D280" s="5">
        <v>24</v>
      </c>
      <c r="E280" s="5">
        <v>160</v>
      </c>
      <c r="F280" s="5">
        <v>24</v>
      </c>
      <c r="G280" s="5">
        <v>2.3439999999999999</v>
      </c>
      <c r="H280" s="5">
        <v>16</v>
      </c>
      <c r="I280" s="13">
        <f>10^3*0.06894757*(2*H280*2.344)/(24*$C$280)</f>
        <v>215.48413877333334</v>
      </c>
      <c r="J280" s="5">
        <v>16</v>
      </c>
      <c r="K280" s="13">
        <f>10^3*0.06894757*(2*J280*2.344)/(24*$C$280)</f>
        <v>215.48413877333334</v>
      </c>
      <c r="L280" s="5">
        <v>16</v>
      </c>
      <c r="M280" s="13">
        <f>10^3*0.06894757*(2*L280*2.344)/(24*$C$280)</f>
        <v>215.48413877333334</v>
      </c>
      <c r="N280" s="5">
        <v>16</v>
      </c>
      <c r="O280" s="13">
        <f>10^3*0.06894757*(2*N280*2.344)/(24*$C$280)</f>
        <v>215.48413877333334</v>
      </c>
      <c r="P280" s="5">
        <v>16</v>
      </c>
      <c r="Q280" s="13">
        <f>10^3*0.06894757*(2*P280*2.344)/(24*$C$280)</f>
        <v>215.48413877333334</v>
      </c>
      <c r="R280" s="5">
        <v>15.3</v>
      </c>
      <c r="S280" s="13">
        <f>10^3*0.06894757*(2*R280*2.344)/(24*$C$280)</f>
        <v>206.05670770200001</v>
      </c>
      <c r="T280" s="5">
        <v>14.6</v>
      </c>
      <c r="U280" s="13">
        <f>10^3*0.06894757*(2*T280*2.344)/(24*$C$280)</f>
        <v>196.62927663066668</v>
      </c>
      <c r="V280" s="5">
        <v>12.5</v>
      </c>
      <c r="W280" s="13">
        <f>10^3*0.06894757*(2*V280*2.344)/(24*$C$280)</f>
        <v>168.34698341666663</v>
      </c>
      <c r="X280" s="5">
        <v>10.7</v>
      </c>
      <c r="Y280" s="13">
        <f>10^3*0.06894757*(2*X280*2.344)/(24*$C$280)</f>
        <v>144.10501780466663</v>
      </c>
      <c r="Z280" s="5">
        <v>9.1999999999999993</v>
      </c>
      <c r="AA280" s="14">
        <f>10^3*0.06894757*(2*Z280*2.344)/(24*$C$280)</f>
        <v>123.90337979466665</v>
      </c>
    </row>
    <row r="281" spans="1:27" x14ac:dyDescent="0.25">
      <c r="A281" s="43"/>
      <c r="B281" s="44" t="s">
        <v>1</v>
      </c>
      <c r="C281" s="3">
        <v>1</v>
      </c>
      <c r="D281" s="3">
        <v>24</v>
      </c>
      <c r="E281" s="3">
        <v>5</v>
      </c>
      <c r="F281" s="3">
        <v>24</v>
      </c>
      <c r="G281" s="3">
        <v>0.218</v>
      </c>
      <c r="H281" s="3">
        <v>20</v>
      </c>
      <c r="I281" s="9">
        <f>10^3*0.06894757*(2*H281*0.218)/(24*$C$281)</f>
        <v>25.050950433333337</v>
      </c>
      <c r="J281" s="3">
        <v>20</v>
      </c>
      <c r="K281" s="9">
        <f>10^3*0.06894757*(2*J281*0.218)/(24*$C$281)</f>
        <v>25.050950433333337</v>
      </c>
      <c r="L281" s="3">
        <v>20</v>
      </c>
      <c r="M281" s="9">
        <f>10^3*0.06894757*(2*L281*0.218)/(24*$C$281)</f>
        <v>25.050950433333337</v>
      </c>
      <c r="N281" s="3">
        <v>19.899999999999999</v>
      </c>
      <c r="O281" s="9">
        <f>10^3*0.06894757*(2*N281*0.218)/(24*$C$281)</f>
        <v>24.925695681166662</v>
      </c>
      <c r="P281" s="3">
        <v>19</v>
      </c>
      <c r="Q281" s="9">
        <f>10^3*0.06894757*(2*P281*0.218)/(24*$C$281)</f>
        <v>23.79840291166667</v>
      </c>
      <c r="R281" s="3">
        <v>17.899999999999999</v>
      </c>
      <c r="S281" s="9">
        <f>10^3*0.06894757*(2*R281*0.218)/(24*$C$281)</f>
        <v>22.420600637833331</v>
      </c>
      <c r="T281" s="3">
        <v>17.3</v>
      </c>
      <c r="U281" s="9">
        <f>10^3*0.06894757*(2*T281*0.218)/(24*$C$281)</f>
        <v>21.669072124833335</v>
      </c>
      <c r="V281" s="3">
        <v>16.7</v>
      </c>
      <c r="W281" s="9">
        <f>10^3*0.06894757*(2*V281*0.218)/(24*$C$281)</f>
        <v>20.917543611833331</v>
      </c>
      <c r="X281" s="3">
        <v>13.9</v>
      </c>
      <c r="Y281" s="9">
        <f>10^3*0.06894757*(2*X281*0.218)/(24*$C$281)</f>
        <v>17.410410551166667</v>
      </c>
      <c r="Z281" s="3">
        <v>11.4</v>
      </c>
      <c r="AA281" s="10">
        <f>10^3*0.06894757*(2*Z281*0.218)/(24*$C$281)</f>
        <v>14.279041746999999</v>
      </c>
    </row>
    <row r="282" spans="1:27" x14ac:dyDescent="0.25">
      <c r="A282" s="43"/>
      <c r="B282" s="45"/>
      <c r="C282" s="4">
        <v>1</v>
      </c>
      <c r="D282" s="4">
        <v>24</v>
      </c>
      <c r="E282" s="4">
        <v>10</v>
      </c>
      <c r="F282" s="4">
        <v>24</v>
      </c>
      <c r="G282" s="4">
        <v>0.25</v>
      </c>
      <c r="H282" s="4">
        <v>20</v>
      </c>
      <c r="I282" s="11">
        <f>10^3*0.06894757*(2*H282*0.25)/(24*$C$282)</f>
        <v>28.728154166666666</v>
      </c>
      <c r="J282" s="4">
        <v>20</v>
      </c>
      <c r="K282" s="11">
        <f>10^3*0.06894757*(2*J282*0.25)/(24*$C$282)</f>
        <v>28.728154166666666</v>
      </c>
      <c r="L282" s="4">
        <v>20</v>
      </c>
      <c r="M282" s="11">
        <f>10^3*0.06894757*(2*L282*0.25)/(24*$C$282)</f>
        <v>28.728154166666666</v>
      </c>
      <c r="N282" s="4">
        <v>19.899999999999999</v>
      </c>
      <c r="O282" s="11">
        <f>10^3*0.06894757*(2*N282*0.25)/(24*$C$282)</f>
        <v>28.58451339583333</v>
      </c>
      <c r="P282" s="4">
        <v>19</v>
      </c>
      <c r="Q282" s="11">
        <f>10^3*0.06894757*(2*P282*0.25)/(24*$C$282)</f>
        <v>27.291746458333332</v>
      </c>
      <c r="R282" s="4">
        <v>17.899999999999999</v>
      </c>
      <c r="S282" s="11">
        <f>10^3*0.06894757*(2*R282*0.25)/(24*$C$282)</f>
        <v>25.711697979166662</v>
      </c>
      <c r="T282" s="4">
        <v>17.3</v>
      </c>
      <c r="U282" s="11">
        <f>10^3*0.06894757*(2*T282*0.25)/(24*$C$282)</f>
        <v>24.849853354166669</v>
      </c>
      <c r="V282" s="4">
        <v>16.7</v>
      </c>
      <c r="W282" s="11">
        <f>10^3*0.06894757*(2*V282*0.25)/(24*$C$282)</f>
        <v>23.988008729166665</v>
      </c>
      <c r="X282" s="4">
        <v>13.9</v>
      </c>
      <c r="Y282" s="11">
        <f>10^3*0.06894757*(2*X282*0.25)/(24*$C$282)</f>
        <v>19.966067145833332</v>
      </c>
      <c r="Z282" s="4">
        <v>11.4</v>
      </c>
      <c r="AA282" s="12">
        <f>10^3*0.06894757*(2*Z282*0.25)/(24*$C$282)</f>
        <v>16.375047875</v>
      </c>
    </row>
    <row r="283" spans="1:27" x14ac:dyDescent="0.25">
      <c r="A283" s="43"/>
      <c r="B283" s="45"/>
      <c r="C283" s="4">
        <v>1</v>
      </c>
      <c r="D283" s="4">
        <v>24</v>
      </c>
      <c r="E283" s="4">
        <v>30</v>
      </c>
      <c r="F283" s="4">
        <v>24</v>
      </c>
      <c r="G283" s="4">
        <v>0.56200000000000006</v>
      </c>
      <c r="H283" s="4">
        <v>20</v>
      </c>
      <c r="I283" s="11">
        <f>10^3*0.06894757*(2*H283*0.562)/(24*$C$283)</f>
        <v>64.580890566666682</v>
      </c>
      <c r="J283" s="4">
        <v>20</v>
      </c>
      <c r="K283" s="11">
        <f>10^3*0.06894757*(2*J283*0.562)/(24*$C$283)</f>
        <v>64.580890566666682</v>
      </c>
      <c r="L283" s="4">
        <v>20</v>
      </c>
      <c r="M283" s="11">
        <f>10^3*0.06894757*(2*L283*0.562)/(24*$C$283)</f>
        <v>64.580890566666682</v>
      </c>
      <c r="N283" s="4">
        <v>19.899999999999999</v>
      </c>
      <c r="O283" s="11">
        <f>10^3*0.06894757*(2*N283*0.562)/(24*$C$283)</f>
        <v>64.257986113833326</v>
      </c>
      <c r="P283" s="4">
        <v>19</v>
      </c>
      <c r="Q283" s="11">
        <f>10^3*0.06894757*(2*P283*0.562)/(24*$C$283)</f>
        <v>61.351846038333342</v>
      </c>
      <c r="R283" s="4">
        <v>17.899999999999999</v>
      </c>
      <c r="S283" s="11">
        <f>10^3*0.06894757*(2*R283*0.562)/(24*$C$283)</f>
        <v>57.799897057166675</v>
      </c>
      <c r="T283" s="4">
        <v>17.3</v>
      </c>
      <c r="U283" s="11">
        <f>10^3*0.06894757*(2*T283*0.562)/(24*$C$283)</f>
        <v>55.862470340166674</v>
      </c>
      <c r="V283" s="4">
        <v>16.7</v>
      </c>
      <c r="W283" s="11">
        <f>10^3*0.06894757*(2*V283*0.562)/(24*$C$283)</f>
        <v>53.925043623166665</v>
      </c>
      <c r="X283" s="4">
        <v>13.9</v>
      </c>
      <c r="Y283" s="11">
        <f>10^3*0.06894757*(2*X283*0.562)/(24*$C$283)</f>
        <v>44.883718943833337</v>
      </c>
      <c r="Z283" s="4">
        <v>11.4</v>
      </c>
      <c r="AA283" s="12">
        <f>10^3*0.06894757*(2*Z283*0.562)/(24*$C$283)</f>
        <v>36.811107623000005</v>
      </c>
    </row>
    <row r="284" spans="1:27" x14ac:dyDescent="0.25">
      <c r="A284" s="43"/>
      <c r="B284" s="45"/>
      <c r="C284" s="4">
        <v>1</v>
      </c>
      <c r="D284" s="4">
        <v>24</v>
      </c>
      <c r="E284" s="4">
        <v>40</v>
      </c>
      <c r="F284" s="4">
        <v>24</v>
      </c>
      <c r="G284" s="4">
        <v>0.68799999999999994</v>
      </c>
      <c r="H284" s="4">
        <v>20</v>
      </c>
      <c r="I284" s="11">
        <f>10^3*0.06894757*(2*H284*0.688)/(24*$C$284)</f>
        <v>79.059880266666653</v>
      </c>
      <c r="J284" s="4">
        <v>20</v>
      </c>
      <c r="K284" s="11">
        <f>10^3*0.06894757*(2*J284*0.688)/(24*$C$284)</f>
        <v>79.059880266666653</v>
      </c>
      <c r="L284" s="4">
        <v>20</v>
      </c>
      <c r="M284" s="11">
        <f>10^3*0.06894757*(2*L284*0.688)/(24*$C$284)</f>
        <v>79.059880266666653</v>
      </c>
      <c r="N284" s="4">
        <v>19.899999999999999</v>
      </c>
      <c r="O284" s="11">
        <f>10^3*0.06894757*(2*N284*0.688)/(24*$C$284)</f>
        <v>78.664580865333321</v>
      </c>
      <c r="P284" s="4">
        <v>19</v>
      </c>
      <c r="Q284" s="11">
        <f>10^3*0.06894757*(2*P284*0.688)/(24*$C$284)</f>
        <v>75.106886253333329</v>
      </c>
      <c r="R284" s="4">
        <v>17.899999999999999</v>
      </c>
      <c r="S284" s="11">
        <f>10^3*0.06894757*(2*R284*0.688)/(24*$C$284)</f>
        <v>70.758592838666644</v>
      </c>
      <c r="T284" s="4">
        <v>17.3</v>
      </c>
      <c r="U284" s="11">
        <f>10^3*0.06894757*(2*T284*0.688)/(24*$C$284)</f>
        <v>68.386796430666664</v>
      </c>
      <c r="V284" s="4">
        <v>16.7</v>
      </c>
      <c r="W284" s="11">
        <f>10^3*0.06894757*(2*V284*0.688)/(24*$C$284)</f>
        <v>66.015000022666655</v>
      </c>
      <c r="X284" s="4">
        <v>13.9</v>
      </c>
      <c r="Y284" s="11">
        <f>10^3*0.06894757*(2*X284*0.688)/(24*$C$284)</f>
        <v>54.946616785333333</v>
      </c>
      <c r="Z284" s="4">
        <v>11.4</v>
      </c>
      <c r="AA284" s="12">
        <f>10^3*0.06894757*(2*Z284*0.688)/(24*$C$284)</f>
        <v>45.064131752000002</v>
      </c>
    </row>
    <row r="285" spans="1:27" x14ac:dyDescent="0.25">
      <c r="A285" s="43"/>
      <c r="B285" s="45"/>
      <c r="C285" s="4">
        <v>1</v>
      </c>
      <c r="D285" s="4">
        <v>24</v>
      </c>
      <c r="E285" s="4">
        <v>80</v>
      </c>
      <c r="F285" s="4">
        <v>24</v>
      </c>
      <c r="G285" s="4">
        <v>1.2190000000000001</v>
      </c>
      <c r="H285" s="4">
        <v>20</v>
      </c>
      <c r="I285" s="11">
        <f>10^3*0.06894757*(2*H285*1.219)/(24*$C$285)</f>
        <v>140.07847971666669</v>
      </c>
      <c r="J285" s="4">
        <v>20</v>
      </c>
      <c r="K285" s="11">
        <f>10^3*0.06894757*(2*J285*1.219)/(24*$C$285)</f>
        <v>140.07847971666669</v>
      </c>
      <c r="L285" s="4">
        <v>20</v>
      </c>
      <c r="M285" s="11">
        <f>10^3*0.06894757*(2*L285*1.219)/(24*$C$285)</f>
        <v>140.07847971666669</v>
      </c>
      <c r="N285" s="4">
        <v>19.899999999999999</v>
      </c>
      <c r="O285" s="11">
        <f>10^3*0.06894757*(2*N285*1.219)/(24*$C$285)</f>
        <v>139.37808731808332</v>
      </c>
      <c r="P285" s="4">
        <v>19</v>
      </c>
      <c r="Q285" s="11">
        <f>10^3*0.06894757*(2*P285*1.219)/(24*$C$285)</f>
        <v>133.07455573083334</v>
      </c>
      <c r="R285" s="4">
        <v>17.899999999999999</v>
      </c>
      <c r="S285" s="11">
        <f>10^3*0.06894757*(2*R285*1.219)/(24*$C$285)</f>
        <v>125.37023934641667</v>
      </c>
      <c r="T285" s="4">
        <v>17.3</v>
      </c>
      <c r="U285" s="11">
        <f>10^3*0.06894757*(2*T285*1.219)/(24*$C$285)</f>
        <v>121.16788495491669</v>
      </c>
      <c r="V285" s="4">
        <v>16.7</v>
      </c>
      <c r="W285" s="11">
        <f>10^3*0.06894757*(2*V285*1.219)/(24*$C$285)</f>
        <v>116.96553056341668</v>
      </c>
      <c r="X285" s="4">
        <v>13.9</v>
      </c>
      <c r="Y285" s="11">
        <f>10^3*0.06894757*(2*X285*1.219)/(24*$C$285)</f>
        <v>97.354543403083355</v>
      </c>
      <c r="Z285" s="4">
        <v>11.4</v>
      </c>
      <c r="AA285" s="12">
        <f>10^3*0.06894757*(2*Z285*1.219)/(24*$C$285)</f>
        <v>79.8447334385</v>
      </c>
    </row>
    <row r="286" spans="1:27" ht="16.5" thickBot="1" x14ac:dyDescent="0.3">
      <c r="A286" s="43"/>
      <c r="B286" s="46"/>
      <c r="C286" s="5">
        <v>1</v>
      </c>
      <c r="D286" s="5">
        <v>24</v>
      </c>
      <c r="E286" s="5">
        <v>160</v>
      </c>
      <c r="F286" s="5">
        <v>24</v>
      </c>
      <c r="G286" s="5">
        <v>2.3439999999999999</v>
      </c>
      <c r="H286" s="5">
        <v>20</v>
      </c>
      <c r="I286" s="13">
        <f>10^3*0.06894757*(2*H286*2.344)/(24*$C$286)</f>
        <v>269.3551734666666</v>
      </c>
      <c r="J286" s="5">
        <v>20</v>
      </c>
      <c r="K286" s="13">
        <f>10^3*0.06894757*(2*J286*2.344)/(24*$C$286)</f>
        <v>269.3551734666666</v>
      </c>
      <c r="L286" s="5">
        <v>20</v>
      </c>
      <c r="M286" s="13">
        <f>10^3*0.06894757*(2*L286*2.344)/(24*$C$286)</f>
        <v>269.3551734666666</v>
      </c>
      <c r="N286" s="5">
        <v>19.899999999999999</v>
      </c>
      <c r="O286" s="13">
        <f>10^3*0.06894757*(2*N286*2.344)/(24*$C$286)</f>
        <v>268.00839759933331</v>
      </c>
      <c r="P286" s="5">
        <v>19</v>
      </c>
      <c r="Q286" s="13">
        <f>10^3*0.06894757*(2*P286*2.344)/(24*$C$286)</f>
        <v>255.88741479333328</v>
      </c>
      <c r="R286" s="5">
        <v>17.899999999999999</v>
      </c>
      <c r="S286" s="13">
        <f>10^3*0.06894757*(2*R286*2.344)/(24*$C$286)</f>
        <v>241.07288025266664</v>
      </c>
      <c r="T286" s="5">
        <v>17.3</v>
      </c>
      <c r="U286" s="13">
        <f>10^3*0.06894757*(2*T286*2.344)/(24*$C$286)</f>
        <v>232.99222504866668</v>
      </c>
      <c r="V286" s="5">
        <v>16.7</v>
      </c>
      <c r="W286" s="13">
        <f>10^3*0.06894757*(2*V286*2.344)/(24*$C$286)</f>
        <v>224.91156984466662</v>
      </c>
      <c r="X286" s="5">
        <v>13.9</v>
      </c>
      <c r="Y286" s="13">
        <f>10^3*0.06894757*(2*X286*2.344)/(24*$C$286)</f>
        <v>187.20184555933335</v>
      </c>
      <c r="Z286" s="5">
        <v>11.4</v>
      </c>
      <c r="AA286" s="14">
        <f>10^3*0.06894757*(2*Z286*2.344)/(24*$C$286)</f>
        <v>153.53244887599999</v>
      </c>
    </row>
    <row r="287" spans="1:27" x14ac:dyDescent="0.25">
      <c r="A287" s="43"/>
      <c r="B287" s="44" t="s">
        <v>6</v>
      </c>
      <c r="C287" s="3">
        <v>1</v>
      </c>
      <c r="D287" s="3">
        <v>24</v>
      </c>
      <c r="E287" s="3">
        <v>5</v>
      </c>
      <c r="F287" s="3">
        <v>24</v>
      </c>
      <c r="G287" s="3">
        <v>0.218</v>
      </c>
      <c r="H287" s="6">
        <v>23.3</v>
      </c>
      <c r="I287" s="9">
        <f>10^3*0.06894757*(2*H287*0.218)/(24*$C$287)</f>
        <v>29.184357254833333</v>
      </c>
      <c r="J287" s="6">
        <v>23.3</v>
      </c>
      <c r="K287" s="9">
        <f>10^3*0.06894757*(2*J287*0.218)/(24*$C$287)</f>
        <v>29.184357254833333</v>
      </c>
      <c r="L287" s="6">
        <v>23.3</v>
      </c>
      <c r="M287" s="9">
        <f>10^3*0.06894757*(2*L287*0.218)/(24*$C$287)</f>
        <v>29.184357254833333</v>
      </c>
      <c r="N287" s="6">
        <v>22.8</v>
      </c>
      <c r="O287" s="9">
        <f>10^3*0.06894757*(2*N287*0.218)/(24*$C$287)</f>
        <v>28.558083493999998</v>
      </c>
      <c r="P287" s="6">
        <v>21.7</v>
      </c>
      <c r="Q287" s="9">
        <f>10^3*0.06894757*(2*P287*0.218)/(24*$C$287)</f>
        <v>27.180281220166666</v>
      </c>
      <c r="R287" s="6">
        <v>20.399999999999999</v>
      </c>
      <c r="S287" s="9">
        <f>10^3*0.06894757*(2*R287*0.218)/(24*$C$287)</f>
        <v>25.551969441999997</v>
      </c>
      <c r="T287" s="6">
        <v>19.8</v>
      </c>
      <c r="U287" s="9">
        <f>10^3*0.06894757*(2*T287*0.218)/(24*$C$287)</f>
        <v>24.800440929000001</v>
      </c>
      <c r="V287" s="6">
        <v>18.3</v>
      </c>
      <c r="W287" s="9">
        <f>10^3*0.06894757*(2*V287*0.218)/(24*$C$287)</f>
        <v>22.921619646500002</v>
      </c>
      <c r="X287" s="6">
        <v>14.8</v>
      </c>
      <c r="Y287" s="9">
        <f>10^3*0.06894757*(2*X287*0.218)/(24*$C$287)</f>
        <v>18.537703320666665</v>
      </c>
      <c r="Z287" s="6">
        <v>12</v>
      </c>
      <c r="AA287" s="10">
        <f>10^3*0.06894757*(2*Z287*0.218)/(24*$C$287)</f>
        <v>15.030570259999999</v>
      </c>
    </row>
    <row r="288" spans="1:27" x14ac:dyDescent="0.25">
      <c r="A288" s="43"/>
      <c r="B288" s="45"/>
      <c r="C288" s="4">
        <v>1</v>
      </c>
      <c r="D288" s="4">
        <v>24</v>
      </c>
      <c r="E288" s="4">
        <v>10</v>
      </c>
      <c r="F288" s="4">
        <v>24</v>
      </c>
      <c r="G288" s="4">
        <v>0.25</v>
      </c>
      <c r="H288" s="7">
        <v>23.3</v>
      </c>
      <c r="I288" s="11">
        <f>10^3*0.06894757*(2*H288*0.25)/(24*$C$288)</f>
        <v>33.468299604166667</v>
      </c>
      <c r="J288" s="7">
        <v>23.3</v>
      </c>
      <c r="K288" s="11">
        <f>10^3*0.06894757*(2*J288*0.25)/(24*$C$288)</f>
        <v>33.468299604166667</v>
      </c>
      <c r="L288" s="7">
        <v>23.3</v>
      </c>
      <c r="M288" s="11">
        <f>10^3*0.06894757*(2*L288*0.25)/(24*$C$288)</f>
        <v>33.468299604166667</v>
      </c>
      <c r="N288" s="7">
        <v>22.8</v>
      </c>
      <c r="O288" s="11">
        <f>10^3*0.06894757*(2*N288*0.25)/(24*$C$288)</f>
        <v>32.75009575</v>
      </c>
      <c r="P288" s="7">
        <v>21.7</v>
      </c>
      <c r="Q288" s="11">
        <f>10^3*0.06894757*(2*P288*0.25)/(24*$C$288)</f>
        <v>31.170047270833333</v>
      </c>
      <c r="R288" s="7">
        <v>20.399999999999999</v>
      </c>
      <c r="S288" s="11">
        <f>10^3*0.06894757*(2*R288*0.25)/(24*$C$288)</f>
        <v>29.302717249999997</v>
      </c>
      <c r="T288" s="7">
        <v>19.8</v>
      </c>
      <c r="U288" s="11">
        <f>10^3*0.06894757*(2*T288*0.25)/(24*$C$288)</f>
        <v>28.440872625000001</v>
      </c>
      <c r="V288" s="7">
        <v>18.3</v>
      </c>
      <c r="W288" s="11">
        <f>10^3*0.06894757*(2*V288*0.25)/(24*$C$288)</f>
        <v>26.286261062499999</v>
      </c>
      <c r="X288" s="7">
        <v>14.8</v>
      </c>
      <c r="Y288" s="11">
        <f>10^3*0.06894757*(2*X288*0.25)/(24*$C$288)</f>
        <v>21.258834083333333</v>
      </c>
      <c r="Z288" s="7">
        <v>12</v>
      </c>
      <c r="AA288" s="12">
        <f>10^3*0.06894757*(2*Z288*0.25)/(24*$C$288)</f>
        <v>17.2368925</v>
      </c>
    </row>
    <row r="289" spans="1:27" x14ac:dyDescent="0.25">
      <c r="A289" s="43"/>
      <c r="B289" s="45"/>
      <c r="C289" s="4">
        <v>1</v>
      </c>
      <c r="D289" s="4">
        <v>24</v>
      </c>
      <c r="E289" s="4">
        <v>30</v>
      </c>
      <c r="F289" s="4">
        <v>24</v>
      </c>
      <c r="G289" s="4">
        <v>0.56200000000000006</v>
      </c>
      <c r="H289" s="7">
        <v>23.3</v>
      </c>
      <c r="I289" s="11">
        <f>10^3*0.06894757*(2*H289*0.562)/(24*$C$289)</f>
        <v>75.236737510166677</v>
      </c>
      <c r="J289" s="7">
        <v>23.3</v>
      </c>
      <c r="K289" s="11">
        <f>10^3*0.06894757*(2*J289*0.562)/(24*$C$289)</f>
        <v>75.236737510166677</v>
      </c>
      <c r="L289" s="7">
        <v>23.3</v>
      </c>
      <c r="M289" s="11">
        <f>10^3*0.06894757*(2*L289*0.562)/(24*$C$289)</f>
        <v>75.236737510166677</v>
      </c>
      <c r="N289" s="7">
        <v>22.8</v>
      </c>
      <c r="O289" s="11">
        <f>10^3*0.06894757*(2*N289*0.562)/(24*$C$289)</f>
        <v>73.62221524600001</v>
      </c>
      <c r="P289" s="7">
        <v>21.7</v>
      </c>
      <c r="Q289" s="11">
        <f>10^3*0.06894757*(2*P289*0.562)/(24*$C$289)</f>
        <v>70.070266264833336</v>
      </c>
      <c r="R289" s="7">
        <v>20.399999999999999</v>
      </c>
      <c r="S289" s="11">
        <f>10^3*0.06894757*(2*R289*0.562)/(24*$C$289)</f>
        <v>65.872508378000006</v>
      </c>
      <c r="T289" s="7">
        <v>19.8</v>
      </c>
      <c r="U289" s="11">
        <f>10^3*0.06894757*(2*T289*0.562)/(24*$C$289)</f>
        <v>63.935081661000005</v>
      </c>
      <c r="V289" s="7">
        <v>18.3</v>
      </c>
      <c r="W289" s="11">
        <f>10^3*0.06894757*(2*V289*0.562)/(24*$C$289)</f>
        <v>59.091514868500006</v>
      </c>
      <c r="X289" s="7">
        <v>14.8</v>
      </c>
      <c r="Y289" s="11">
        <f>10^3*0.06894757*(2*X289*0.562)/(24*$C$289)</f>
        <v>47.789859019333335</v>
      </c>
      <c r="Z289" s="7">
        <v>12</v>
      </c>
      <c r="AA289" s="12">
        <f>10^3*0.06894757*(2*Z289*0.562)/(24*$C$289)</f>
        <v>38.748534339999999</v>
      </c>
    </row>
    <row r="290" spans="1:27" x14ac:dyDescent="0.25">
      <c r="A290" s="43"/>
      <c r="B290" s="45"/>
      <c r="C290" s="4">
        <v>1</v>
      </c>
      <c r="D290" s="4">
        <v>24</v>
      </c>
      <c r="E290" s="4">
        <v>40</v>
      </c>
      <c r="F290" s="4">
        <v>24</v>
      </c>
      <c r="G290" s="4">
        <v>0.68799999999999994</v>
      </c>
      <c r="H290" s="7">
        <v>23.3</v>
      </c>
      <c r="I290" s="11">
        <f>10^3*0.06894757*(2*H290*0.688)/(24*$C$290)</f>
        <v>92.104760510666665</v>
      </c>
      <c r="J290" s="7">
        <v>23.3</v>
      </c>
      <c r="K290" s="11">
        <f>10^3*0.06894757*(2*J290*0.688)/(24*$C$290)</f>
        <v>92.104760510666665</v>
      </c>
      <c r="L290" s="7">
        <v>23.3</v>
      </c>
      <c r="M290" s="11">
        <f>10^3*0.06894757*(2*L290*0.688)/(24*$C$290)</f>
        <v>92.104760510666665</v>
      </c>
      <c r="N290" s="7">
        <v>22.8</v>
      </c>
      <c r="O290" s="11">
        <f>10^3*0.06894757*(2*N290*0.688)/(24*$C$290)</f>
        <v>90.128263504000003</v>
      </c>
      <c r="P290" s="7">
        <v>21.7</v>
      </c>
      <c r="Q290" s="11">
        <f>10^3*0.06894757*(2*P290*0.688)/(24*$C$290)</f>
        <v>85.779970089333332</v>
      </c>
      <c r="R290" s="7">
        <v>20.399999999999999</v>
      </c>
      <c r="S290" s="11">
        <f>10^3*0.06894757*(2*R290*0.688)/(24*$C$290)</f>
        <v>80.641077871999983</v>
      </c>
      <c r="T290" s="7">
        <v>19.8</v>
      </c>
      <c r="U290" s="11">
        <f>10^3*0.06894757*(2*T290*0.688)/(24*$C$290)</f>
        <v>78.269281463999988</v>
      </c>
      <c r="V290" s="7">
        <v>18.3</v>
      </c>
      <c r="W290" s="11">
        <f>10^3*0.06894757*(2*V290*0.688)/(24*$C$290)</f>
        <v>72.339790444000002</v>
      </c>
      <c r="X290" s="7">
        <v>14.8</v>
      </c>
      <c r="Y290" s="11">
        <f>10^3*0.06894757*(2*X290*0.688)/(24*$C$290)</f>
        <v>58.504311397333332</v>
      </c>
      <c r="Z290" s="7">
        <v>12</v>
      </c>
      <c r="AA290" s="12">
        <f>10^3*0.06894757*(2*Z290*0.688)/(24*$C$290)</f>
        <v>47.435928160000003</v>
      </c>
    </row>
    <row r="291" spans="1:27" x14ac:dyDescent="0.25">
      <c r="A291" s="43"/>
      <c r="B291" s="45"/>
      <c r="C291" s="4">
        <v>1</v>
      </c>
      <c r="D291" s="4">
        <v>24</v>
      </c>
      <c r="E291" s="4">
        <v>80</v>
      </c>
      <c r="F291" s="4">
        <v>24</v>
      </c>
      <c r="G291" s="4">
        <v>1.2190000000000001</v>
      </c>
      <c r="H291" s="7">
        <v>23.3</v>
      </c>
      <c r="I291" s="11">
        <f>10^3*0.06894757*(2*H291*1.219)/(24*$C$291)</f>
        <v>163.19142886991668</v>
      </c>
      <c r="J291" s="7">
        <v>23.3</v>
      </c>
      <c r="K291" s="11">
        <f>10^3*0.06894757*(2*J291*1.219)/(24*$C$291)</f>
        <v>163.19142886991668</v>
      </c>
      <c r="L291" s="7">
        <v>23.3</v>
      </c>
      <c r="M291" s="11">
        <f>10^3*0.06894757*(2*L291*1.219)/(24*$C$291)</f>
        <v>163.19142886991668</v>
      </c>
      <c r="N291" s="7">
        <v>22.8</v>
      </c>
      <c r="O291" s="11">
        <f>10^3*0.06894757*(2*N291*1.219)/(24*$C$291)</f>
        <v>159.689466877</v>
      </c>
      <c r="P291" s="7">
        <v>21.7</v>
      </c>
      <c r="Q291" s="11">
        <f>10^3*0.06894757*(2*P291*1.219)/(24*$C$291)</f>
        <v>151.98515049258333</v>
      </c>
      <c r="R291" s="7">
        <v>20.399999999999999</v>
      </c>
      <c r="S291" s="11">
        <f>10^3*0.06894757*(2*R291*1.219)/(24*$C$291)</f>
        <v>142.88004931099999</v>
      </c>
      <c r="T291" s="7">
        <v>19.8</v>
      </c>
      <c r="U291" s="11">
        <f>10^3*0.06894757*(2*T291*1.219)/(24*$C$291)</f>
        <v>138.6776949195</v>
      </c>
      <c r="V291" s="7">
        <v>18.3</v>
      </c>
      <c r="W291" s="11">
        <f>10^3*0.06894757*(2*V291*1.219)/(24*$C$291)</f>
        <v>128.17180894075003</v>
      </c>
      <c r="X291" s="7">
        <v>14.8</v>
      </c>
      <c r="Y291" s="11">
        <f>10^3*0.06894757*(2*X291*1.219)/(24*$C$291)</f>
        <v>103.65807499033336</v>
      </c>
      <c r="Z291" s="7">
        <v>12</v>
      </c>
      <c r="AA291" s="12">
        <f>10^3*0.06894757*(2*Z291*1.219)/(24*$C$291)</f>
        <v>84.047087829999995</v>
      </c>
    </row>
    <row r="292" spans="1:27" ht="16.5" thickBot="1" x14ac:dyDescent="0.3">
      <c r="A292" s="43"/>
      <c r="B292" s="46"/>
      <c r="C292" s="5">
        <v>1</v>
      </c>
      <c r="D292" s="5">
        <v>24</v>
      </c>
      <c r="E292" s="5">
        <v>160</v>
      </c>
      <c r="F292" s="5">
        <v>24</v>
      </c>
      <c r="G292" s="5">
        <v>2.3439999999999999</v>
      </c>
      <c r="H292" s="8">
        <v>23.3</v>
      </c>
      <c r="I292" s="13">
        <f>10^3*0.06894757*(2*H292*2.344)/(24*$C$292)</f>
        <v>313.79877708866667</v>
      </c>
      <c r="J292" s="8">
        <v>23.3</v>
      </c>
      <c r="K292" s="13">
        <f>10^3*0.06894757*(2*J292*2.344)/(24*$C$292)</f>
        <v>313.79877708866667</v>
      </c>
      <c r="L292" s="8">
        <v>23.3</v>
      </c>
      <c r="M292" s="13">
        <f>10^3*0.06894757*(2*L292*2.344)/(24*$C$292)</f>
        <v>313.79877708866667</v>
      </c>
      <c r="N292" s="8">
        <v>22.8</v>
      </c>
      <c r="O292" s="13">
        <f>10^3*0.06894757*(2*N292*2.344)/(24*$C$292)</f>
        <v>307.06489775199998</v>
      </c>
      <c r="P292" s="8">
        <v>21.7</v>
      </c>
      <c r="Q292" s="13">
        <f>10^3*0.06894757*(2*P292*2.344)/(24*$C$292)</f>
        <v>292.25036321133331</v>
      </c>
      <c r="R292" s="8">
        <v>20.399999999999999</v>
      </c>
      <c r="S292" s="13">
        <f>10^3*0.06894757*(2*R292*2.344)/(24*$C$292)</f>
        <v>274.74227693599994</v>
      </c>
      <c r="T292" s="8">
        <v>19.8</v>
      </c>
      <c r="U292" s="13">
        <f>10^3*0.06894757*(2*T292*2.344)/(24*$C$292)</f>
        <v>266.66162173200001</v>
      </c>
      <c r="V292" s="8">
        <v>18.3</v>
      </c>
      <c r="W292" s="13">
        <f>10^3*0.06894757*(2*V292*2.344)/(24*$C$292)</f>
        <v>246.45998372200003</v>
      </c>
      <c r="X292" s="8">
        <v>14.8</v>
      </c>
      <c r="Y292" s="13">
        <f>10^3*0.06894757*(2*X292*2.344)/(24*$C$292)</f>
        <v>199.32282836533332</v>
      </c>
      <c r="Z292" s="8">
        <v>12</v>
      </c>
      <c r="AA292" s="14">
        <f>10^3*0.06894757*(2*Z292*2.344)/(24*$C$292)</f>
        <v>161.61310408</v>
      </c>
    </row>
    <row r="293" spans="1:27" x14ac:dyDescent="0.25">
      <c r="A293" s="43" t="s">
        <v>5</v>
      </c>
      <c r="B293" s="44" t="s">
        <v>2</v>
      </c>
      <c r="C293" s="3">
        <v>1</v>
      </c>
      <c r="D293" s="3">
        <v>26</v>
      </c>
      <c r="E293" s="3">
        <v>5</v>
      </c>
      <c r="F293" s="3"/>
      <c r="G293" s="3"/>
      <c r="H293" s="3">
        <v>16</v>
      </c>
      <c r="I293" s="9"/>
      <c r="J293" s="3">
        <v>16</v>
      </c>
      <c r="K293" s="9"/>
      <c r="L293" s="3">
        <v>16</v>
      </c>
      <c r="M293" s="9"/>
      <c r="N293" s="3">
        <v>16</v>
      </c>
      <c r="O293" s="9"/>
      <c r="P293" s="3">
        <v>16</v>
      </c>
      <c r="Q293" s="9"/>
      <c r="R293" s="3">
        <v>15.3</v>
      </c>
      <c r="S293" s="9"/>
      <c r="T293" s="3">
        <v>14.6</v>
      </c>
      <c r="U293" s="9"/>
      <c r="V293" s="3">
        <v>12.5</v>
      </c>
      <c r="W293" s="9"/>
      <c r="X293" s="3">
        <v>10.7</v>
      </c>
      <c r="Y293" s="9"/>
      <c r="Z293" s="3">
        <v>9.1999999999999993</v>
      </c>
      <c r="AA293" s="10"/>
    </row>
    <row r="294" spans="1:27" x14ac:dyDescent="0.25">
      <c r="A294" s="43"/>
      <c r="B294" s="45"/>
      <c r="C294" s="4">
        <v>1</v>
      </c>
      <c r="D294" s="4">
        <v>26</v>
      </c>
      <c r="E294" s="4">
        <v>10</v>
      </c>
      <c r="F294" s="4">
        <v>26</v>
      </c>
      <c r="G294" s="4">
        <v>0.312</v>
      </c>
      <c r="H294" s="4">
        <v>16</v>
      </c>
      <c r="I294" s="11">
        <f>10^3*0.06894757*(2*H294*0.312)/(26*$C$294)</f>
        <v>26.475866879999998</v>
      </c>
      <c r="J294" s="4">
        <v>16</v>
      </c>
      <c r="K294" s="11">
        <f>10^3*0.06894757*(2*J294*0.312)/(26*$C$294)</f>
        <v>26.475866879999998</v>
      </c>
      <c r="L294" s="4">
        <v>16</v>
      </c>
      <c r="M294" s="11">
        <f>10^3*0.06894757*(2*L294*0.312)/(26*$C$294)</f>
        <v>26.475866879999998</v>
      </c>
      <c r="N294" s="4">
        <v>16</v>
      </c>
      <c r="O294" s="11">
        <f>10^3*0.06894757*(2*N294*0.312)/(26*$C$294)</f>
        <v>26.475866879999998</v>
      </c>
      <c r="P294" s="4">
        <v>16</v>
      </c>
      <c r="Q294" s="11">
        <f>10^3*0.06894757*(2*P294*0.312)/(26*$C$294)</f>
        <v>26.475866879999998</v>
      </c>
      <c r="R294" s="4">
        <v>15.3</v>
      </c>
      <c r="S294" s="11">
        <f>10^3*0.06894757*(2*R294*0.312)/(26*$C$294)</f>
        <v>25.317547703999999</v>
      </c>
      <c r="T294" s="4">
        <v>14.6</v>
      </c>
      <c r="U294" s="11">
        <f>10^3*0.06894757*(2*T294*0.312)/(26*$C$294)</f>
        <v>24.159228528000003</v>
      </c>
      <c r="V294" s="4">
        <v>12.5</v>
      </c>
      <c r="W294" s="11">
        <f>10^3*0.06894757*(2*V294*0.312)/(26*$C$294)</f>
        <v>20.684270999999999</v>
      </c>
      <c r="X294" s="4">
        <v>10.7</v>
      </c>
      <c r="Y294" s="11">
        <f>10^3*0.06894757*(2*X294*0.312)/(26*$C$294)</f>
        <v>17.705735975999996</v>
      </c>
      <c r="Z294" s="4">
        <v>9.1999999999999993</v>
      </c>
      <c r="AA294" s="12">
        <f>10^3*0.06894757*(2*Z294*0.312)/(26*$C$294)</f>
        <v>15.223623455999997</v>
      </c>
    </row>
    <row r="295" spans="1:27" x14ac:dyDescent="0.25">
      <c r="A295" s="43"/>
      <c r="B295" s="45"/>
      <c r="C295" s="4">
        <v>1</v>
      </c>
      <c r="D295" s="4">
        <v>26</v>
      </c>
      <c r="E295" s="4">
        <v>30</v>
      </c>
      <c r="F295" s="4"/>
      <c r="G295" s="4"/>
      <c r="H295" s="4">
        <v>16</v>
      </c>
      <c r="I295" s="11"/>
      <c r="J295" s="4">
        <v>16</v>
      </c>
      <c r="K295" s="11"/>
      <c r="L295" s="4">
        <v>16</v>
      </c>
      <c r="M295" s="11"/>
      <c r="N295" s="4">
        <v>16</v>
      </c>
      <c r="O295" s="11"/>
      <c r="P295" s="4">
        <v>16</v>
      </c>
      <c r="Q295" s="11"/>
      <c r="R295" s="4">
        <v>15.3</v>
      </c>
      <c r="S295" s="11"/>
      <c r="T295" s="4">
        <v>14.6</v>
      </c>
      <c r="U295" s="11"/>
      <c r="V295" s="4">
        <v>12.5</v>
      </c>
      <c r="W295" s="11"/>
      <c r="X295" s="4">
        <v>10.7</v>
      </c>
      <c r="Y295" s="11"/>
      <c r="Z295" s="4">
        <v>9.1999999999999993</v>
      </c>
      <c r="AA295" s="12"/>
    </row>
    <row r="296" spans="1:27" x14ac:dyDescent="0.25">
      <c r="A296" s="43"/>
      <c r="B296" s="45"/>
      <c r="C296" s="4">
        <v>1</v>
      </c>
      <c r="D296" s="4">
        <v>26</v>
      </c>
      <c r="E296" s="4">
        <v>40</v>
      </c>
      <c r="F296" s="4"/>
      <c r="G296" s="4"/>
      <c r="H296" s="4">
        <v>16</v>
      </c>
      <c r="I296" s="11"/>
      <c r="J296" s="4">
        <v>16</v>
      </c>
      <c r="K296" s="11"/>
      <c r="L296" s="4">
        <v>16</v>
      </c>
      <c r="M296" s="11"/>
      <c r="N296" s="4">
        <v>16</v>
      </c>
      <c r="O296" s="11"/>
      <c r="P296" s="4">
        <v>16</v>
      </c>
      <c r="Q296" s="11"/>
      <c r="R296" s="4">
        <v>15.3</v>
      </c>
      <c r="S296" s="11"/>
      <c r="T296" s="4">
        <v>14.6</v>
      </c>
      <c r="U296" s="11"/>
      <c r="V296" s="4">
        <v>12.5</v>
      </c>
      <c r="W296" s="11"/>
      <c r="X296" s="4">
        <v>10.7</v>
      </c>
      <c r="Y296" s="11"/>
      <c r="Z296" s="4">
        <v>9.1999999999999993</v>
      </c>
      <c r="AA296" s="12"/>
    </row>
    <row r="297" spans="1:27" x14ac:dyDescent="0.25">
      <c r="A297" s="43"/>
      <c r="B297" s="45"/>
      <c r="C297" s="4">
        <v>1</v>
      </c>
      <c r="D297" s="4">
        <v>26</v>
      </c>
      <c r="E297" s="4">
        <v>80</v>
      </c>
      <c r="F297" s="4"/>
      <c r="G297" s="4"/>
      <c r="H297" s="4">
        <v>16</v>
      </c>
      <c r="I297" s="11"/>
      <c r="J297" s="4">
        <v>16</v>
      </c>
      <c r="K297" s="11"/>
      <c r="L297" s="4">
        <v>16</v>
      </c>
      <c r="M297" s="11"/>
      <c r="N297" s="4">
        <v>16</v>
      </c>
      <c r="O297" s="11"/>
      <c r="P297" s="4">
        <v>16</v>
      </c>
      <c r="Q297" s="11"/>
      <c r="R297" s="4">
        <v>15.3</v>
      </c>
      <c r="S297" s="11"/>
      <c r="T297" s="4">
        <v>14.6</v>
      </c>
      <c r="U297" s="11"/>
      <c r="V297" s="4">
        <v>12.5</v>
      </c>
      <c r="W297" s="11"/>
      <c r="X297" s="4">
        <v>10.7</v>
      </c>
      <c r="Y297" s="11"/>
      <c r="Z297" s="4">
        <v>9.1999999999999993</v>
      </c>
      <c r="AA297" s="12"/>
    </row>
    <row r="298" spans="1:27" ht="16.5" thickBot="1" x14ac:dyDescent="0.3">
      <c r="A298" s="43"/>
      <c r="B298" s="46"/>
      <c r="C298" s="5">
        <v>1</v>
      </c>
      <c r="D298" s="5">
        <v>26</v>
      </c>
      <c r="E298" s="5">
        <v>160</v>
      </c>
      <c r="F298" s="5"/>
      <c r="G298" s="5"/>
      <c r="H298" s="5">
        <v>16</v>
      </c>
      <c r="I298" s="13"/>
      <c r="J298" s="5">
        <v>16</v>
      </c>
      <c r="K298" s="13"/>
      <c r="L298" s="5">
        <v>16</v>
      </c>
      <c r="M298" s="13"/>
      <c r="N298" s="5">
        <v>16</v>
      </c>
      <c r="O298" s="13"/>
      <c r="P298" s="5">
        <v>16</v>
      </c>
      <c r="Q298" s="13"/>
      <c r="R298" s="5">
        <v>15.3</v>
      </c>
      <c r="S298" s="13"/>
      <c r="T298" s="5">
        <v>14.6</v>
      </c>
      <c r="U298" s="13"/>
      <c r="V298" s="5">
        <v>12.5</v>
      </c>
      <c r="W298" s="13"/>
      <c r="X298" s="5">
        <v>10.7</v>
      </c>
      <c r="Y298" s="13"/>
      <c r="Z298" s="5">
        <v>9.1999999999999993</v>
      </c>
      <c r="AA298" s="14"/>
    </row>
    <row r="299" spans="1:27" x14ac:dyDescent="0.25">
      <c r="A299" s="43"/>
      <c r="B299" s="44" t="s">
        <v>1</v>
      </c>
      <c r="C299" s="3">
        <v>1</v>
      </c>
      <c r="D299" s="3">
        <v>26</v>
      </c>
      <c r="E299" s="3">
        <v>5</v>
      </c>
      <c r="F299" s="3"/>
      <c r="G299" s="3"/>
      <c r="H299" s="3">
        <v>20</v>
      </c>
      <c r="I299" s="9"/>
      <c r="J299" s="3">
        <v>20</v>
      </c>
      <c r="K299" s="9"/>
      <c r="L299" s="3">
        <v>20</v>
      </c>
      <c r="M299" s="9"/>
      <c r="N299" s="3">
        <v>19.899999999999999</v>
      </c>
      <c r="O299" s="9"/>
      <c r="P299" s="3">
        <v>19</v>
      </c>
      <c r="Q299" s="9"/>
      <c r="R299" s="3">
        <v>17.899999999999999</v>
      </c>
      <c r="S299" s="9"/>
      <c r="T299" s="3">
        <v>17.3</v>
      </c>
      <c r="U299" s="9"/>
      <c r="V299" s="3">
        <v>16.7</v>
      </c>
      <c r="W299" s="9"/>
      <c r="X299" s="3">
        <v>13.9</v>
      </c>
      <c r="Y299" s="9"/>
      <c r="Z299" s="3">
        <v>11.4</v>
      </c>
      <c r="AA299" s="10"/>
    </row>
    <row r="300" spans="1:27" x14ac:dyDescent="0.25">
      <c r="A300" s="43"/>
      <c r="B300" s="45"/>
      <c r="C300" s="4">
        <v>1</v>
      </c>
      <c r="D300" s="4">
        <v>26</v>
      </c>
      <c r="E300" s="4">
        <v>10</v>
      </c>
      <c r="F300" s="4">
        <v>26</v>
      </c>
      <c r="G300" s="4">
        <v>0.312</v>
      </c>
      <c r="H300" s="4">
        <v>20</v>
      </c>
      <c r="I300" s="11">
        <f>10^3*0.06894757*(2*H300*0.312)/(26*$C$300)</f>
        <v>33.094833600000001</v>
      </c>
      <c r="J300" s="4">
        <v>20</v>
      </c>
      <c r="K300" s="11">
        <f>10^3*0.06894757*(2*J300*0.312)/(26*$C$300)</f>
        <v>33.094833600000001</v>
      </c>
      <c r="L300" s="4">
        <v>20</v>
      </c>
      <c r="M300" s="11">
        <f>10^3*0.06894757*(2*L300*0.312)/(26*$C$300)</f>
        <v>33.094833600000001</v>
      </c>
      <c r="N300" s="4">
        <v>19.899999999999999</v>
      </c>
      <c r="O300" s="11">
        <f>10^3*0.06894757*(2*N300*0.312)/(26*$C$300)</f>
        <v>32.929359431999998</v>
      </c>
      <c r="P300" s="4">
        <v>19</v>
      </c>
      <c r="Q300" s="11">
        <f>10^3*0.06894757*(2*P300*0.312)/(26*$C$300)</f>
        <v>31.44009192</v>
      </c>
      <c r="R300" s="4">
        <v>17.899999999999999</v>
      </c>
      <c r="S300" s="11">
        <f>10^3*0.06894757*(2*R300*0.312)/(26*$C$300)</f>
        <v>29.619876071999997</v>
      </c>
      <c r="T300" s="4">
        <v>17.3</v>
      </c>
      <c r="U300" s="11">
        <f>10^3*0.06894757*(2*T300*0.312)/(26*$C$300)</f>
        <v>28.627031064000001</v>
      </c>
      <c r="V300" s="4">
        <v>16.7</v>
      </c>
      <c r="W300" s="11">
        <f>10^3*0.06894757*(2*V300*0.312)/(26*$C$300)</f>
        <v>27.634186055999997</v>
      </c>
      <c r="X300" s="4">
        <v>13.9</v>
      </c>
      <c r="Y300" s="11">
        <f>10^3*0.06894757*(2*X300*0.312)/(26*$C$300)</f>
        <v>23.000909352000001</v>
      </c>
      <c r="Z300" s="4">
        <v>11.4</v>
      </c>
      <c r="AA300" s="12">
        <f>10^3*0.06894757*(2*Z300*0.312)/(26*$C$300)</f>
        <v>18.864055151999999</v>
      </c>
    </row>
    <row r="301" spans="1:27" x14ac:dyDescent="0.25">
      <c r="A301" s="43"/>
      <c r="B301" s="45"/>
      <c r="C301" s="4">
        <v>1</v>
      </c>
      <c r="D301" s="4">
        <v>26</v>
      </c>
      <c r="E301" s="4">
        <v>30</v>
      </c>
      <c r="F301" s="4"/>
      <c r="G301" s="4"/>
      <c r="H301" s="4">
        <v>20</v>
      </c>
      <c r="I301" s="11"/>
      <c r="J301" s="4">
        <v>20</v>
      </c>
      <c r="K301" s="11"/>
      <c r="L301" s="4">
        <v>20</v>
      </c>
      <c r="M301" s="11"/>
      <c r="N301" s="4">
        <v>19.899999999999999</v>
      </c>
      <c r="O301" s="11"/>
      <c r="P301" s="4">
        <v>19</v>
      </c>
      <c r="Q301" s="11"/>
      <c r="R301" s="4">
        <v>17.899999999999999</v>
      </c>
      <c r="S301" s="11"/>
      <c r="T301" s="4">
        <v>17.3</v>
      </c>
      <c r="U301" s="11"/>
      <c r="V301" s="4">
        <v>16.7</v>
      </c>
      <c r="W301" s="11"/>
      <c r="X301" s="4">
        <v>13.9</v>
      </c>
      <c r="Y301" s="11"/>
      <c r="Z301" s="4">
        <v>11.4</v>
      </c>
      <c r="AA301" s="12"/>
    </row>
    <row r="302" spans="1:27" x14ac:dyDescent="0.25">
      <c r="A302" s="43"/>
      <c r="B302" s="45"/>
      <c r="C302" s="4">
        <v>1</v>
      </c>
      <c r="D302" s="4">
        <v>26</v>
      </c>
      <c r="E302" s="4">
        <v>40</v>
      </c>
      <c r="F302" s="4"/>
      <c r="G302" s="4"/>
      <c r="H302" s="4">
        <v>20</v>
      </c>
      <c r="I302" s="11"/>
      <c r="J302" s="4">
        <v>20</v>
      </c>
      <c r="K302" s="11"/>
      <c r="L302" s="4">
        <v>20</v>
      </c>
      <c r="M302" s="11"/>
      <c r="N302" s="4">
        <v>19.899999999999999</v>
      </c>
      <c r="O302" s="11"/>
      <c r="P302" s="4">
        <v>19</v>
      </c>
      <c r="Q302" s="11"/>
      <c r="R302" s="4">
        <v>17.899999999999999</v>
      </c>
      <c r="S302" s="11"/>
      <c r="T302" s="4">
        <v>17.3</v>
      </c>
      <c r="U302" s="11"/>
      <c r="V302" s="4">
        <v>16.7</v>
      </c>
      <c r="W302" s="11"/>
      <c r="X302" s="4">
        <v>13.9</v>
      </c>
      <c r="Y302" s="11"/>
      <c r="Z302" s="4">
        <v>11.4</v>
      </c>
      <c r="AA302" s="12"/>
    </row>
    <row r="303" spans="1:27" x14ac:dyDescent="0.25">
      <c r="A303" s="43"/>
      <c r="B303" s="45"/>
      <c r="C303" s="4">
        <v>1</v>
      </c>
      <c r="D303" s="4">
        <v>26</v>
      </c>
      <c r="E303" s="4">
        <v>80</v>
      </c>
      <c r="F303" s="4"/>
      <c r="G303" s="4"/>
      <c r="H303" s="4">
        <v>20</v>
      </c>
      <c r="I303" s="11"/>
      <c r="J303" s="4">
        <v>20</v>
      </c>
      <c r="K303" s="11"/>
      <c r="L303" s="4">
        <v>20</v>
      </c>
      <c r="M303" s="11"/>
      <c r="N303" s="4">
        <v>19.899999999999999</v>
      </c>
      <c r="O303" s="11"/>
      <c r="P303" s="4">
        <v>19</v>
      </c>
      <c r="Q303" s="11"/>
      <c r="R303" s="4">
        <v>17.899999999999999</v>
      </c>
      <c r="S303" s="11"/>
      <c r="T303" s="4">
        <v>17.3</v>
      </c>
      <c r="U303" s="11"/>
      <c r="V303" s="4">
        <v>16.7</v>
      </c>
      <c r="W303" s="11"/>
      <c r="X303" s="4">
        <v>13.9</v>
      </c>
      <c r="Y303" s="11"/>
      <c r="Z303" s="4">
        <v>11.4</v>
      </c>
      <c r="AA303" s="12"/>
    </row>
    <row r="304" spans="1:27" ht="16.5" thickBot="1" x14ac:dyDescent="0.3">
      <c r="A304" s="43"/>
      <c r="B304" s="46"/>
      <c r="C304" s="5">
        <v>1</v>
      </c>
      <c r="D304" s="5">
        <v>26</v>
      </c>
      <c r="E304" s="5">
        <v>160</v>
      </c>
      <c r="F304" s="5"/>
      <c r="G304" s="5"/>
      <c r="H304" s="5">
        <v>20</v>
      </c>
      <c r="I304" s="13"/>
      <c r="J304" s="5">
        <v>20</v>
      </c>
      <c r="K304" s="13"/>
      <c r="L304" s="5">
        <v>20</v>
      </c>
      <c r="M304" s="13"/>
      <c r="N304" s="5">
        <v>19.899999999999999</v>
      </c>
      <c r="O304" s="13"/>
      <c r="P304" s="5">
        <v>19</v>
      </c>
      <c r="Q304" s="13"/>
      <c r="R304" s="5">
        <v>17.899999999999999</v>
      </c>
      <c r="S304" s="13"/>
      <c r="T304" s="5">
        <v>17.3</v>
      </c>
      <c r="U304" s="13"/>
      <c r="V304" s="5">
        <v>16.7</v>
      </c>
      <c r="W304" s="13"/>
      <c r="X304" s="5">
        <v>13.9</v>
      </c>
      <c r="Y304" s="13"/>
      <c r="Z304" s="5">
        <v>11.4</v>
      </c>
      <c r="AA304" s="14"/>
    </row>
    <row r="305" spans="1:27" x14ac:dyDescent="0.25">
      <c r="A305" s="43"/>
      <c r="B305" s="44" t="s">
        <v>6</v>
      </c>
      <c r="C305" s="3">
        <v>1</v>
      </c>
      <c r="D305" s="3">
        <v>26</v>
      </c>
      <c r="E305" s="3">
        <v>5</v>
      </c>
      <c r="F305" s="3"/>
      <c r="G305" s="3"/>
      <c r="H305" s="6">
        <v>23.3</v>
      </c>
      <c r="I305" s="15"/>
      <c r="J305" s="6">
        <v>23.3</v>
      </c>
      <c r="K305" s="9"/>
      <c r="L305" s="6">
        <v>23.3</v>
      </c>
      <c r="M305" s="9"/>
      <c r="N305" s="6">
        <v>22.8</v>
      </c>
      <c r="O305" s="9"/>
      <c r="P305" s="6">
        <v>21.7</v>
      </c>
      <c r="Q305" s="9"/>
      <c r="R305" s="6">
        <v>20.399999999999999</v>
      </c>
      <c r="S305" s="9"/>
      <c r="T305" s="6">
        <v>19.8</v>
      </c>
      <c r="U305" s="9"/>
      <c r="V305" s="6">
        <v>18.3</v>
      </c>
      <c r="W305" s="9"/>
      <c r="X305" s="6">
        <v>14.8</v>
      </c>
      <c r="Y305" s="9"/>
      <c r="Z305" s="6">
        <v>12</v>
      </c>
      <c r="AA305" s="10"/>
    </row>
    <row r="306" spans="1:27" x14ac:dyDescent="0.25">
      <c r="A306" s="43"/>
      <c r="B306" s="45"/>
      <c r="C306" s="4">
        <v>1</v>
      </c>
      <c r="D306" s="4">
        <v>26</v>
      </c>
      <c r="E306" s="4">
        <v>10</v>
      </c>
      <c r="F306" s="4">
        <v>26</v>
      </c>
      <c r="G306" s="4">
        <v>0.312</v>
      </c>
      <c r="H306" s="7">
        <v>23.3</v>
      </c>
      <c r="I306" s="11">
        <f>10^3*0.06894757*(2*H306*0.312)/(26*$C$306)</f>
        <v>38.555481144000005</v>
      </c>
      <c r="J306" s="7">
        <v>23.3</v>
      </c>
      <c r="K306" s="11">
        <f>10^3*0.06894757*(2*J306*0.312)/(26*$C$306)</f>
        <v>38.555481144000005</v>
      </c>
      <c r="L306" s="7">
        <v>23.3</v>
      </c>
      <c r="M306" s="11">
        <f>10^3*0.06894757*(2*L306*0.312)/(26*$C$306)</f>
        <v>38.555481144000005</v>
      </c>
      <c r="N306" s="7">
        <v>22.8</v>
      </c>
      <c r="O306" s="11">
        <f>10^3*0.06894757*(2*N306*0.312)/(26*$C$306)</f>
        <v>37.728110303999998</v>
      </c>
      <c r="P306" s="7">
        <v>21.7</v>
      </c>
      <c r="Q306" s="11">
        <f>10^3*0.06894757*(2*P306*0.312)/(26*$C$306)</f>
        <v>35.907894455999994</v>
      </c>
      <c r="R306" s="7">
        <v>20.399999999999999</v>
      </c>
      <c r="S306" s="11">
        <f>10^3*0.06894757*(2*R306*0.312)/(26*$C$306)</f>
        <v>33.756730271999999</v>
      </c>
      <c r="T306" s="7">
        <v>19.8</v>
      </c>
      <c r="U306" s="11">
        <f>10^3*0.06894757*(2*T306*0.312)/(26*$C$306)</f>
        <v>32.763885264000002</v>
      </c>
      <c r="V306" s="7">
        <v>18.3</v>
      </c>
      <c r="W306" s="11">
        <f>10^3*0.06894757*(2*V306*0.312)/(26*$C$306)</f>
        <v>30.281772744000001</v>
      </c>
      <c r="X306" s="7">
        <v>14.8</v>
      </c>
      <c r="Y306" s="11">
        <f>10^3*0.06894757*(2*X306*0.312)/(26*$C$306)</f>
        <v>24.490176864000002</v>
      </c>
      <c r="Z306" s="7">
        <v>12</v>
      </c>
      <c r="AA306" s="12">
        <f>10^3*0.06894757*(2*Z306*0.312)/(26*$C$306)</f>
        <v>19.856900160000002</v>
      </c>
    </row>
    <row r="307" spans="1:27" x14ac:dyDescent="0.25">
      <c r="A307" s="43"/>
      <c r="B307" s="45"/>
      <c r="C307" s="4">
        <v>1</v>
      </c>
      <c r="D307" s="4">
        <v>26</v>
      </c>
      <c r="E307" s="4">
        <v>30</v>
      </c>
      <c r="F307" s="4"/>
      <c r="G307" s="4"/>
      <c r="H307" s="7">
        <v>23.3</v>
      </c>
      <c r="I307" s="16"/>
      <c r="J307" s="7">
        <v>23.3</v>
      </c>
      <c r="K307" s="11"/>
      <c r="L307" s="7">
        <v>23.3</v>
      </c>
      <c r="M307" s="11"/>
      <c r="N307" s="7">
        <v>22.8</v>
      </c>
      <c r="O307" s="11"/>
      <c r="P307" s="7">
        <v>21.7</v>
      </c>
      <c r="Q307" s="11"/>
      <c r="R307" s="7">
        <v>20.399999999999999</v>
      </c>
      <c r="S307" s="11"/>
      <c r="T307" s="7">
        <v>19.8</v>
      </c>
      <c r="U307" s="11"/>
      <c r="V307" s="7">
        <v>18.3</v>
      </c>
      <c r="W307" s="11"/>
      <c r="X307" s="7">
        <v>14.8</v>
      </c>
      <c r="Y307" s="11"/>
      <c r="Z307" s="7">
        <v>12</v>
      </c>
      <c r="AA307" s="12"/>
    </row>
    <row r="308" spans="1:27" x14ac:dyDescent="0.25">
      <c r="A308" s="43"/>
      <c r="B308" s="45"/>
      <c r="C308" s="4">
        <v>1</v>
      </c>
      <c r="D308" s="4">
        <v>26</v>
      </c>
      <c r="E308" s="4">
        <v>40</v>
      </c>
      <c r="F308" s="4"/>
      <c r="G308" s="4"/>
      <c r="H308" s="7">
        <v>23.3</v>
      </c>
      <c r="I308" s="16"/>
      <c r="J308" s="7">
        <v>23.3</v>
      </c>
      <c r="K308" s="11"/>
      <c r="L308" s="7">
        <v>23.3</v>
      </c>
      <c r="M308" s="11"/>
      <c r="N308" s="7">
        <v>22.8</v>
      </c>
      <c r="O308" s="11"/>
      <c r="P308" s="7">
        <v>21.7</v>
      </c>
      <c r="Q308" s="11"/>
      <c r="R308" s="7">
        <v>20.399999999999999</v>
      </c>
      <c r="S308" s="11"/>
      <c r="T308" s="7">
        <v>19.8</v>
      </c>
      <c r="U308" s="11"/>
      <c r="V308" s="7">
        <v>18.3</v>
      </c>
      <c r="W308" s="11"/>
      <c r="X308" s="7">
        <v>14.8</v>
      </c>
      <c r="Y308" s="11"/>
      <c r="Z308" s="7">
        <v>12</v>
      </c>
      <c r="AA308" s="12"/>
    </row>
    <row r="309" spans="1:27" x14ac:dyDescent="0.25">
      <c r="A309" s="43"/>
      <c r="B309" s="45"/>
      <c r="C309" s="4">
        <v>1</v>
      </c>
      <c r="D309" s="4">
        <v>26</v>
      </c>
      <c r="E309" s="4">
        <v>80</v>
      </c>
      <c r="F309" s="4"/>
      <c r="G309" s="4"/>
      <c r="H309" s="7">
        <v>23.3</v>
      </c>
      <c r="I309" s="16"/>
      <c r="J309" s="7">
        <v>23.3</v>
      </c>
      <c r="K309" s="11"/>
      <c r="L309" s="7">
        <v>23.3</v>
      </c>
      <c r="M309" s="11"/>
      <c r="N309" s="7">
        <v>22.8</v>
      </c>
      <c r="O309" s="17"/>
      <c r="P309" s="7">
        <v>21.7</v>
      </c>
      <c r="Q309" s="11"/>
      <c r="R309" s="7">
        <v>20.399999999999999</v>
      </c>
      <c r="S309" s="11"/>
      <c r="T309" s="7">
        <v>19.8</v>
      </c>
      <c r="U309" s="11"/>
      <c r="V309" s="7">
        <v>18.3</v>
      </c>
      <c r="W309" s="11"/>
      <c r="X309" s="7">
        <v>14.8</v>
      </c>
      <c r="Y309" s="11"/>
      <c r="Z309" s="7">
        <v>12</v>
      </c>
      <c r="AA309" s="12"/>
    </row>
    <row r="310" spans="1:27" ht="16.5" thickBot="1" x14ac:dyDescent="0.3">
      <c r="A310" s="43"/>
      <c r="B310" s="46"/>
      <c r="C310" s="5">
        <v>1</v>
      </c>
      <c r="D310" s="5">
        <v>26</v>
      </c>
      <c r="E310" s="5">
        <v>160</v>
      </c>
      <c r="F310" s="5"/>
      <c r="G310" s="5"/>
      <c r="H310" s="8">
        <v>23.3</v>
      </c>
      <c r="I310" s="18"/>
      <c r="J310" s="8">
        <v>23.3</v>
      </c>
      <c r="K310" s="13"/>
      <c r="L310" s="8">
        <v>23.3</v>
      </c>
      <c r="M310" s="13"/>
      <c r="N310" s="8">
        <v>22.8</v>
      </c>
      <c r="O310" s="13"/>
      <c r="P310" s="8">
        <v>21.7</v>
      </c>
      <c r="Q310" s="13"/>
      <c r="R310" s="8">
        <v>20.399999999999999</v>
      </c>
      <c r="S310" s="13"/>
      <c r="T310" s="8">
        <v>19.8</v>
      </c>
      <c r="U310" s="13"/>
      <c r="V310" s="8">
        <v>18.3</v>
      </c>
      <c r="W310" s="13"/>
      <c r="X310" s="8">
        <v>14.8</v>
      </c>
      <c r="Y310" s="13"/>
      <c r="Z310" s="8">
        <v>12</v>
      </c>
      <c r="AA310" s="14"/>
    </row>
  </sheetData>
  <mergeCells count="87">
    <mergeCell ref="G1:G4"/>
    <mergeCell ref="B53:B58"/>
    <mergeCell ref="B35:B40"/>
    <mergeCell ref="C1:C4"/>
    <mergeCell ref="A59:A76"/>
    <mergeCell ref="B59:B64"/>
    <mergeCell ref="B65:B70"/>
    <mergeCell ref="B71:B76"/>
    <mergeCell ref="B23:B28"/>
    <mergeCell ref="B29:B34"/>
    <mergeCell ref="A23:A40"/>
    <mergeCell ref="B41:B46"/>
    <mergeCell ref="B47:B52"/>
    <mergeCell ref="A1:A4"/>
    <mergeCell ref="A41:A58"/>
    <mergeCell ref="X3:Y3"/>
    <mergeCell ref="B1:B4"/>
    <mergeCell ref="H3:I3"/>
    <mergeCell ref="J3:K3"/>
    <mergeCell ref="L3:M3"/>
    <mergeCell ref="N3:O3"/>
    <mergeCell ref="P3:Q3"/>
    <mergeCell ref="R3:S3"/>
    <mergeCell ref="E1:E4"/>
    <mergeCell ref="H1:AA1"/>
    <mergeCell ref="H2:AA2"/>
    <mergeCell ref="Z3:AA3"/>
    <mergeCell ref="T3:U3"/>
    <mergeCell ref="V3:W3"/>
    <mergeCell ref="D1:D4"/>
    <mergeCell ref="F1:F4"/>
    <mergeCell ref="A77:A94"/>
    <mergeCell ref="B77:B82"/>
    <mergeCell ref="B83:B88"/>
    <mergeCell ref="B89:B94"/>
    <mergeCell ref="A95:A112"/>
    <mergeCell ref="B95:B100"/>
    <mergeCell ref="B101:B106"/>
    <mergeCell ref="B107:B112"/>
    <mergeCell ref="A113:A130"/>
    <mergeCell ref="B113:B118"/>
    <mergeCell ref="B119:B124"/>
    <mergeCell ref="B125:B130"/>
    <mergeCell ref="A131:A148"/>
    <mergeCell ref="B131:B136"/>
    <mergeCell ref="B137:B142"/>
    <mergeCell ref="B143:B148"/>
    <mergeCell ref="A149:A166"/>
    <mergeCell ref="B149:B154"/>
    <mergeCell ref="B155:B160"/>
    <mergeCell ref="B161:B166"/>
    <mergeCell ref="A167:A184"/>
    <mergeCell ref="B167:B172"/>
    <mergeCell ref="B173:B178"/>
    <mergeCell ref="B179:B184"/>
    <mergeCell ref="A185:A202"/>
    <mergeCell ref="B185:B190"/>
    <mergeCell ref="B191:B196"/>
    <mergeCell ref="B197:B202"/>
    <mergeCell ref="A203:A220"/>
    <mergeCell ref="B203:B208"/>
    <mergeCell ref="B209:B214"/>
    <mergeCell ref="B215:B220"/>
    <mergeCell ref="A221:A238"/>
    <mergeCell ref="B221:B226"/>
    <mergeCell ref="B227:B232"/>
    <mergeCell ref="B233:B238"/>
    <mergeCell ref="A239:A256"/>
    <mergeCell ref="B239:B244"/>
    <mergeCell ref="B245:B250"/>
    <mergeCell ref="B251:B256"/>
    <mergeCell ref="A293:A310"/>
    <mergeCell ref="B293:B298"/>
    <mergeCell ref="B299:B304"/>
    <mergeCell ref="B305:B310"/>
    <mergeCell ref="A5:A22"/>
    <mergeCell ref="B5:B10"/>
    <mergeCell ref="B11:B16"/>
    <mergeCell ref="B17:B22"/>
    <mergeCell ref="A257:A274"/>
    <mergeCell ref="B257:B262"/>
    <mergeCell ref="B263:B268"/>
    <mergeCell ref="B269:B274"/>
    <mergeCell ref="A275:A292"/>
    <mergeCell ref="B275:B280"/>
    <mergeCell ref="B281:B286"/>
    <mergeCell ref="B287:B292"/>
  </mergeCells>
  <phoneticPr fontId="3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R&amp;D PC</dc:creator>
  <cp:lastModifiedBy>R&amp;D PC</cp:lastModifiedBy>
  <cp:lastPrinted>2024-11-16T13:03:13Z</cp:lastPrinted>
  <dcterms:created xsi:type="dcterms:W3CDTF">2024-11-16T06:47:01Z</dcterms:created>
  <dcterms:modified xsi:type="dcterms:W3CDTF">2024-11-19T09:01:19Z</dcterms:modified>
</cp:coreProperties>
</file>